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80" windowWidth="15480" windowHeight="11520" tabRatio="915"/>
  </bookViews>
  <sheets>
    <sheet name="SPF-A01" sheetId="3" r:id="rId1"/>
    <sheet name="SPF-A02" sheetId="5" r:id="rId2"/>
    <sheet name="SPF-A03" sheetId="14" r:id="rId3"/>
    <sheet name="SPF-C01 " sheetId="26" r:id="rId4"/>
    <sheet name="SPF-C02" sheetId="27" r:id="rId5"/>
    <sheet name="SPF-01" sheetId="24" r:id="rId6"/>
  </sheets>
  <definedNames>
    <definedName name="_xlnm._FilterDatabase" localSheetId="0" hidden="1">'SPF-A01'!$H$3:$H$4</definedName>
    <definedName name="_xlnm.Print_Area" localSheetId="5">'SPF-01'!$E$2:$R$60</definedName>
    <definedName name="_xlnm.Print_Area" localSheetId="0">'SPF-A01'!$H$3:$V$68</definedName>
    <definedName name="_xlnm.Print_Area" localSheetId="1">'SPF-A02'!$B$1:$N$21</definedName>
    <definedName name="_xlnm.Print_Area" localSheetId="2">'SPF-A03'!$B$1:$I$63</definedName>
    <definedName name="_xlnm.Print_Area" localSheetId="3">'SPF-C01 '!$E$4:$R$61</definedName>
    <definedName name="_xlnm.Print_Area" localSheetId="4">'SPF-C02'!$E$4:$R$61</definedName>
    <definedName name="_xlnm.Print_Titles" localSheetId="2">'SPF-A03'!$4:$13</definedName>
  </definedNames>
  <calcPr calcId="145621"/>
</workbook>
</file>

<file path=xl/calcChain.xml><?xml version="1.0" encoding="utf-8"?>
<calcChain xmlns="http://schemas.openxmlformats.org/spreadsheetml/2006/main">
  <c r="G39" i="24" l="1"/>
  <c r="H39" i="24"/>
  <c r="I39" i="24"/>
  <c r="J39" i="24"/>
  <c r="K39" i="24"/>
  <c r="L39" i="24"/>
  <c r="M39" i="24"/>
  <c r="N39" i="24"/>
  <c r="O39" i="24"/>
  <c r="P39" i="24"/>
  <c r="Q39" i="24"/>
  <c r="F39" i="24"/>
  <c r="K22" i="14" l="1"/>
  <c r="J21" i="14"/>
  <c r="J19" i="14" l="1"/>
  <c r="Q32" i="3"/>
  <c r="Q29" i="3"/>
  <c r="V32" i="3" l="1"/>
  <c r="V29" i="3"/>
  <c r="V25" i="3"/>
  <c r="V24" i="3"/>
  <c r="V23" i="3"/>
  <c r="U45" i="3"/>
  <c r="V45" i="3"/>
  <c r="T45" i="3"/>
  <c r="U32" i="3"/>
  <c r="T32" i="3"/>
  <c r="U29" i="3"/>
  <c r="T29" i="3"/>
  <c r="U23" i="3"/>
  <c r="U24" i="3"/>
  <c r="U25" i="3"/>
  <c r="U26" i="3"/>
  <c r="T26" i="3"/>
  <c r="T25" i="3"/>
  <c r="T24" i="3"/>
  <c r="T23" i="3"/>
  <c r="S45" i="3"/>
  <c r="S32" i="3"/>
  <c r="S29" i="3"/>
  <c r="S25" i="3"/>
  <c r="S24" i="3"/>
  <c r="S23" i="3"/>
  <c r="K20" i="14" l="1"/>
  <c r="G23" i="14" l="1"/>
  <c r="Y23" i="3" l="1"/>
  <c r="Y24" i="3"/>
  <c r="Y25" i="3"/>
  <c r="Y26" i="3"/>
  <c r="Y27" i="3"/>
  <c r="Y30" i="3"/>
  <c r="Y33" i="3"/>
  <c r="Y34" i="3"/>
  <c r="Y35" i="3"/>
  <c r="Y36" i="3"/>
  <c r="Y37" i="3"/>
  <c r="Y38" i="3"/>
  <c r="Y40" i="3"/>
  <c r="Y41" i="3"/>
  <c r="Y42" i="3"/>
  <c r="Y45" i="3"/>
  <c r="Y46" i="3"/>
  <c r="Y32" i="3" l="1"/>
  <c r="Y29" i="3"/>
  <c r="R51" i="27" l="1"/>
  <c r="R50" i="27"/>
  <c r="Q49" i="27"/>
  <c r="P49" i="27"/>
  <c r="O49" i="27"/>
  <c r="N49" i="27"/>
  <c r="N48" i="27" s="1"/>
  <c r="M49" i="27"/>
  <c r="L49" i="27"/>
  <c r="K49" i="27"/>
  <c r="J49" i="27"/>
  <c r="J48" i="27" s="1"/>
  <c r="I49" i="27"/>
  <c r="H49" i="27"/>
  <c r="G49" i="27"/>
  <c r="F49" i="27"/>
  <c r="F48" i="27" s="1"/>
  <c r="R48" i="27" s="1"/>
  <c r="Q48" i="27"/>
  <c r="P48" i="27"/>
  <c r="O48" i="27"/>
  <c r="M48" i="27"/>
  <c r="L48" i="27"/>
  <c r="K48" i="27"/>
  <c r="I48" i="27"/>
  <c r="H48" i="27"/>
  <c r="G48" i="27"/>
  <c r="Q45" i="27"/>
  <c r="P45" i="27"/>
  <c r="O45" i="27"/>
  <c r="N45" i="27"/>
  <c r="M45" i="27"/>
  <c r="L45" i="27"/>
  <c r="K45" i="27"/>
  <c r="J45" i="27"/>
  <c r="I45" i="27"/>
  <c r="H45" i="27"/>
  <c r="G45" i="27"/>
  <c r="F45" i="27"/>
  <c r="R45" i="27" s="1"/>
  <c r="S43" i="27"/>
  <c r="T43" i="27" s="1"/>
  <c r="S42" i="27"/>
  <c r="Q42" i="27"/>
  <c r="P42" i="27"/>
  <c r="P38" i="27" s="1"/>
  <c r="O42" i="27"/>
  <c r="N42" i="27"/>
  <c r="M42" i="27"/>
  <c r="L42" i="27"/>
  <c r="L38" i="27" s="1"/>
  <c r="K42" i="27"/>
  <c r="J42" i="27"/>
  <c r="I42" i="27"/>
  <c r="H42" i="27"/>
  <c r="H38" i="27" s="1"/>
  <c r="G42" i="27"/>
  <c r="F42" i="27"/>
  <c r="R42" i="27" s="1"/>
  <c r="Q40" i="27"/>
  <c r="R40" i="27" s="1"/>
  <c r="Q39" i="27"/>
  <c r="Q38" i="27" s="1"/>
  <c r="P39" i="27"/>
  <c r="O39" i="27"/>
  <c r="N39" i="27"/>
  <c r="M39" i="27"/>
  <c r="M38" i="27" s="1"/>
  <c r="L39" i="27"/>
  <c r="K39" i="27"/>
  <c r="J39" i="27"/>
  <c r="I39" i="27"/>
  <c r="I38" i="27" s="1"/>
  <c r="H39" i="27"/>
  <c r="G39" i="27"/>
  <c r="F39" i="27"/>
  <c r="O38" i="27"/>
  <c r="N38" i="27"/>
  <c r="K38" i="27"/>
  <c r="J38" i="27"/>
  <c r="G38" i="27"/>
  <c r="F38" i="27"/>
  <c r="R38" i="27" s="1"/>
  <c r="R35" i="27"/>
  <c r="Q34" i="27"/>
  <c r="Q26" i="27" s="1"/>
  <c r="P34" i="27"/>
  <c r="P26" i="27" s="1"/>
  <c r="P14" i="27" s="1"/>
  <c r="P13" i="27" s="1"/>
  <c r="P12" i="27" s="1"/>
  <c r="O34" i="27"/>
  <c r="N34" i="27"/>
  <c r="M34" i="27"/>
  <c r="M26" i="27" s="1"/>
  <c r="L34" i="27"/>
  <c r="L26" i="27" s="1"/>
  <c r="L14" i="27" s="1"/>
  <c r="L13" i="27" s="1"/>
  <c r="L12" i="27" s="1"/>
  <c r="K34" i="27"/>
  <c r="J34" i="27"/>
  <c r="I34" i="27"/>
  <c r="I26" i="27" s="1"/>
  <c r="H34" i="27"/>
  <c r="H26" i="27" s="1"/>
  <c r="H14" i="27" s="1"/>
  <c r="H13" i="27" s="1"/>
  <c r="H12" i="27" s="1"/>
  <c r="G34" i="27"/>
  <c r="F34" i="27"/>
  <c r="R34" i="27" s="1"/>
  <c r="Q30" i="27"/>
  <c r="P30" i="27"/>
  <c r="O30" i="27"/>
  <c r="N30" i="27"/>
  <c r="M30" i="27"/>
  <c r="L30" i="27"/>
  <c r="K30" i="27"/>
  <c r="J30" i="27"/>
  <c r="I30" i="27"/>
  <c r="H30" i="27"/>
  <c r="G30" i="27"/>
  <c r="F30" i="27"/>
  <c r="R30" i="27" s="1"/>
  <c r="R27" i="27"/>
  <c r="O26" i="27"/>
  <c r="N26" i="27"/>
  <c r="K26" i="27"/>
  <c r="J26" i="27"/>
  <c r="G26" i="27"/>
  <c r="F26" i="27"/>
  <c r="R24" i="27"/>
  <c r="Q23" i="27"/>
  <c r="Q14" i="27" s="1"/>
  <c r="Q13" i="27" s="1"/>
  <c r="Q12" i="27" s="1"/>
  <c r="P23" i="27"/>
  <c r="O23" i="27"/>
  <c r="N23" i="27"/>
  <c r="M23" i="27"/>
  <c r="M14" i="27" s="1"/>
  <c r="M13" i="27" s="1"/>
  <c r="M12" i="27" s="1"/>
  <c r="L23" i="27"/>
  <c r="K23" i="27"/>
  <c r="J23" i="27"/>
  <c r="I23" i="27"/>
  <c r="I14" i="27" s="1"/>
  <c r="I13" i="27" s="1"/>
  <c r="I12" i="27" s="1"/>
  <c r="H23" i="27"/>
  <c r="G23" i="27"/>
  <c r="F23" i="27"/>
  <c r="R23" i="27" s="1"/>
  <c r="R22" i="27"/>
  <c r="R18" i="27" s="1"/>
  <c r="R21" i="27"/>
  <c r="R20" i="27"/>
  <c r="R19" i="27"/>
  <c r="Q18" i="27"/>
  <c r="P18" i="27"/>
  <c r="O18" i="27"/>
  <c r="N18" i="27"/>
  <c r="N14" i="27" s="1"/>
  <c r="N13" i="27" s="1"/>
  <c r="M18" i="27"/>
  <c r="L18" i="27"/>
  <c r="K18" i="27"/>
  <c r="J18" i="27"/>
  <c r="I18" i="27"/>
  <c r="H18" i="27"/>
  <c r="G18" i="27"/>
  <c r="F18" i="27"/>
  <c r="F14" i="27" s="1"/>
  <c r="O14" i="27"/>
  <c r="O13" i="27" s="1"/>
  <c r="O12" i="27" s="1"/>
  <c r="K14" i="27"/>
  <c r="K13" i="27" s="1"/>
  <c r="K12" i="27" s="1"/>
  <c r="G14" i="27"/>
  <c r="G13" i="27" s="1"/>
  <c r="G12" i="27" s="1"/>
  <c r="J14" i="27" l="1"/>
  <c r="J13" i="27" s="1"/>
  <c r="J12" i="27" s="1"/>
  <c r="R26" i="27"/>
  <c r="R39" i="27"/>
  <c r="T41" i="27"/>
  <c r="T40" i="27"/>
  <c r="F13" i="27"/>
  <c r="N12" i="27"/>
  <c r="R49" i="27"/>
  <c r="R14" i="27" l="1"/>
  <c r="R13" i="27"/>
  <c r="F12" i="27"/>
  <c r="R12" i="27" s="1"/>
  <c r="R18" i="24" l="1"/>
  <c r="R19" i="24"/>
  <c r="R20" i="24"/>
  <c r="G17" i="24"/>
  <c r="H17" i="24"/>
  <c r="I17" i="24"/>
  <c r="J17" i="24"/>
  <c r="K17" i="24"/>
  <c r="L17" i="24"/>
  <c r="M17" i="24"/>
  <c r="N17" i="24"/>
  <c r="O17" i="24"/>
  <c r="P17" i="24"/>
  <c r="Q17" i="24"/>
  <c r="F17" i="24"/>
  <c r="U28" i="3"/>
  <c r="T28" i="3"/>
  <c r="U22" i="3"/>
  <c r="T22" i="3"/>
  <c r="Q22" i="3"/>
  <c r="P22" i="3"/>
  <c r="O22" i="3"/>
  <c r="N22" i="3"/>
  <c r="L22" i="3"/>
  <c r="J22" i="3"/>
  <c r="K22" i="3"/>
  <c r="K39" i="3"/>
  <c r="J19" i="3"/>
  <c r="R51" i="26"/>
  <c r="R50" i="26"/>
  <c r="Q49" i="26"/>
  <c r="Q48" i="26" s="1"/>
  <c r="P49" i="26"/>
  <c r="O49" i="26"/>
  <c r="N49" i="26"/>
  <c r="M49" i="26"/>
  <c r="M48" i="26" s="1"/>
  <c r="L49" i="26"/>
  <c r="K49" i="26"/>
  <c r="J49" i="26"/>
  <c r="I49" i="26"/>
  <c r="I48" i="26" s="1"/>
  <c r="H49" i="26"/>
  <c r="G49" i="26"/>
  <c r="F49" i="26"/>
  <c r="R49" i="26" s="1"/>
  <c r="P48" i="26"/>
  <c r="O48" i="26"/>
  <c r="N48" i="26"/>
  <c r="L48" i="26"/>
  <c r="K48" i="26"/>
  <c r="J48" i="26"/>
  <c r="H48" i="26"/>
  <c r="G48" i="26"/>
  <c r="F48" i="26"/>
  <c r="R48" i="26" s="1"/>
  <c r="Q45" i="26"/>
  <c r="P45" i="26"/>
  <c r="O45" i="26"/>
  <c r="N45" i="26"/>
  <c r="M45" i="26"/>
  <c r="L45" i="26"/>
  <c r="K45" i="26"/>
  <c r="J45" i="26"/>
  <c r="I45" i="26"/>
  <c r="H45" i="26"/>
  <c r="G45" i="26"/>
  <c r="F45" i="26"/>
  <c r="R45" i="26" s="1"/>
  <c r="S42" i="26"/>
  <c r="S43" i="26" s="1"/>
  <c r="T43" i="26" s="1"/>
  <c r="Q42" i="26"/>
  <c r="P42" i="26"/>
  <c r="O42" i="26"/>
  <c r="N42" i="26"/>
  <c r="M42" i="26"/>
  <c r="L42" i="26"/>
  <c r="K42" i="26"/>
  <c r="J42" i="26"/>
  <c r="I42" i="26"/>
  <c r="H42" i="26"/>
  <c r="G42" i="26"/>
  <c r="F42" i="26"/>
  <c r="R42" i="26" s="1"/>
  <c r="R40" i="26"/>
  <c r="T40" i="26" s="1"/>
  <c r="Q40" i="26"/>
  <c r="Q39" i="26"/>
  <c r="P39" i="26"/>
  <c r="P38" i="26" s="1"/>
  <c r="O39" i="26"/>
  <c r="O38" i="26" s="1"/>
  <c r="N39" i="26"/>
  <c r="M39" i="26"/>
  <c r="L39" i="26"/>
  <c r="L38" i="26" s="1"/>
  <c r="K39" i="26"/>
  <c r="K38" i="26" s="1"/>
  <c r="J39" i="26"/>
  <c r="I39" i="26"/>
  <c r="H39" i="26"/>
  <c r="H38" i="26" s="1"/>
  <c r="G39" i="26"/>
  <c r="G38" i="26" s="1"/>
  <c r="F39" i="26"/>
  <c r="Q38" i="26"/>
  <c r="N38" i="26"/>
  <c r="M38" i="26"/>
  <c r="J38" i="26"/>
  <c r="I38" i="26"/>
  <c r="F38" i="26"/>
  <c r="R38" i="26" s="1"/>
  <c r="R35" i="26"/>
  <c r="Q34" i="26"/>
  <c r="P34" i="26"/>
  <c r="P26" i="26" s="1"/>
  <c r="O34" i="26"/>
  <c r="O26" i="26" s="1"/>
  <c r="O14" i="26" s="1"/>
  <c r="O13" i="26" s="1"/>
  <c r="O12" i="26" s="1"/>
  <c r="N34" i="26"/>
  <c r="M34" i="26"/>
  <c r="L34" i="26"/>
  <c r="L26" i="26" s="1"/>
  <c r="K34" i="26"/>
  <c r="K26" i="26" s="1"/>
  <c r="K14" i="26" s="1"/>
  <c r="K13" i="26" s="1"/>
  <c r="K12" i="26" s="1"/>
  <c r="J34" i="26"/>
  <c r="I34" i="26"/>
  <c r="H34" i="26"/>
  <c r="H26" i="26" s="1"/>
  <c r="G34" i="26"/>
  <c r="G26" i="26" s="1"/>
  <c r="G14" i="26" s="1"/>
  <c r="G13" i="26" s="1"/>
  <c r="G12" i="26" s="1"/>
  <c r="F34" i="26"/>
  <c r="R34" i="26" s="1"/>
  <c r="Q30" i="26"/>
  <c r="P30" i="26"/>
  <c r="O30" i="26"/>
  <c r="N30" i="26"/>
  <c r="M30" i="26"/>
  <c r="L30" i="26"/>
  <c r="K30" i="26"/>
  <c r="J30" i="26"/>
  <c r="I30" i="26"/>
  <c r="H30" i="26"/>
  <c r="G30" i="26"/>
  <c r="F30" i="26"/>
  <c r="R30" i="26" s="1"/>
  <c r="R27" i="26"/>
  <c r="Q26" i="26"/>
  <c r="N26" i="26"/>
  <c r="M26" i="26"/>
  <c r="J26" i="26"/>
  <c r="I26" i="26"/>
  <c r="F26" i="26"/>
  <c r="R26" i="26" s="1"/>
  <c r="R24" i="26"/>
  <c r="Q23" i="26"/>
  <c r="P23" i="26"/>
  <c r="P14" i="26" s="1"/>
  <c r="O23" i="26"/>
  <c r="N23" i="26"/>
  <c r="M23" i="26"/>
  <c r="L23" i="26"/>
  <c r="L14" i="26" s="1"/>
  <c r="K23" i="26"/>
  <c r="J23" i="26"/>
  <c r="I23" i="26"/>
  <c r="H23" i="26"/>
  <c r="H14" i="26" s="1"/>
  <c r="G23" i="26"/>
  <c r="F23" i="26"/>
  <c r="R23" i="26" s="1"/>
  <c r="R22" i="26"/>
  <c r="R21" i="26"/>
  <c r="R18" i="26" s="1"/>
  <c r="R20" i="26"/>
  <c r="R19" i="26"/>
  <c r="Q18" i="26"/>
  <c r="Q14" i="26" s="1"/>
  <c r="Q13" i="26" s="1"/>
  <c r="P18" i="26"/>
  <c r="O18" i="26"/>
  <c r="N18" i="26"/>
  <c r="M18" i="26"/>
  <c r="M14" i="26" s="1"/>
  <c r="M13" i="26" s="1"/>
  <c r="L18" i="26"/>
  <c r="K18" i="26"/>
  <c r="J18" i="26"/>
  <c r="I18" i="26"/>
  <c r="I14" i="26" s="1"/>
  <c r="I13" i="26" s="1"/>
  <c r="H18" i="26"/>
  <c r="G18" i="26"/>
  <c r="F18" i="26"/>
  <c r="N14" i="26"/>
  <c r="N13" i="26" s="1"/>
  <c r="N12" i="26" s="1"/>
  <c r="J14" i="26"/>
  <c r="J13" i="26" s="1"/>
  <c r="J12" i="26" s="1"/>
  <c r="F14" i="26"/>
  <c r="F13" i="26" s="1"/>
  <c r="R17" i="24" l="1"/>
  <c r="F12" i="26"/>
  <c r="H13" i="26"/>
  <c r="H12" i="26" s="1"/>
  <c r="P13" i="26"/>
  <c r="P12" i="26" s="1"/>
  <c r="I12" i="26"/>
  <c r="M12" i="26"/>
  <c r="Q12" i="26"/>
  <c r="L13" i="26"/>
  <c r="L12" i="26" s="1"/>
  <c r="R39" i="26"/>
  <c r="T41" i="26"/>
  <c r="R14" i="26"/>
  <c r="R12" i="26" l="1"/>
  <c r="R13" i="26"/>
  <c r="J31" i="3" l="1"/>
  <c r="J44" i="3"/>
  <c r="V22" i="3" l="1"/>
  <c r="Y22" i="3" s="1"/>
  <c r="S22" i="3" l="1"/>
  <c r="T44" i="3" l="1"/>
  <c r="U44" i="3"/>
  <c r="V44" i="3"/>
  <c r="Y44" i="3" s="1"/>
  <c r="Q44" i="3" l="1"/>
  <c r="S44" i="3" l="1"/>
  <c r="S43" i="3" s="1"/>
  <c r="O44" i="3"/>
  <c r="P44" i="3"/>
  <c r="N44" i="3"/>
  <c r="K44" i="3"/>
  <c r="L44" i="3"/>
  <c r="R24" i="24" l="1"/>
  <c r="Q23" i="24"/>
  <c r="P23" i="24"/>
  <c r="O23" i="24"/>
  <c r="N23" i="24"/>
  <c r="M23" i="24"/>
  <c r="L23" i="24"/>
  <c r="K23" i="24"/>
  <c r="J23" i="24"/>
  <c r="I23" i="24"/>
  <c r="H23" i="24"/>
  <c r="G23" i="24"/>
  <c r="F23" i="24"/>
  <c r="R51" i="24"/>
  <c r="R50" i="24"/>
  <c r="Q49" i="24"/>
  <c r="P49" i="24"/>
  <c r="O49" i="24"/>
  <c r="O48" i="24" s="1"/>
  <c r="N49" i="24"/>
  <c r="M49" i="24"/>
  <c r="L49" i="24"/>
  <c r="L48" i="24" s="1"/>
  <c r="K49" i="24"/>
  <c r="K48" i="24" s="1"/>
  <c r="J49" i="24"/>
  <c r="I49" i="24"/>
  <c r="H49" i="24"/>
  <c r="H48" i="24" s="1"/>
  <c r="G49" i="24"/>
  <c r="G48" i="24" s="1"/>
  <c r="F49" i="24"/>
  <c r="Q48" i="24"/>
  <c r="P48" i="24"/>
  <c r="N48" i="24"/>
  <c r="M48" i="24"/>
  <c r="J48" i="24"/>
  <c r="I48" i="24"/>
  <c r="F48" i="24"/>
  <c r="Q45" i="24"/>
  <c r="P45" i="24"/>
  <c r="O45" i="24"/>
  <c r="N45" i="24"/>
  <c r="M45" i="24"/>
  <c r="L45" i="24"/>
  <c r="K45" i="24"/>
  <c r="J45" i="24"/>
  <c r="I45" i="24"/>
  <c r="H45" i="24"/>
  <c r="G45" i="24"/>
  <c r="F45" i="24"/>
  <c r="Q42" i="24"/>
  <c r="Q38" i="24" s="1"/>
  <c r="P42" i="24"/>
  <c r="P38" i="24" s="1"/>
  <c r="O42" i="24"/>
  <c r="N42" i="24"/>
  <c r="M42" i="24"/>
  <c r="M38" i="24" s="1"/>
  <c r="L42" i="24"/>
  <c r="L38" i="24" s="1"/>
  <c r="K42" i="24"/>
  <c r="J42" i="24"/>
  <c r="I42" i="24"/>
  <c r="I38" i="24" s="1"/>
  <c r="H42" i="24"/>
  <c r="H38" i="24" s="1"/>
  <c r="G42" i="24"/>
  <c r="F42" i="24"/>
  <c r="R40" i="24"/>
  <c r="R39" i="24"/>
  <c r="O38" i="24"/>
  <c r="N38" i="24"/>
  <c r="K38" i="24"/>
  <c r="J38" i="24"/>
  <c r="G38" i="24"/>
  <c r="F38" i="24"/>
  <c r="R35" i="24"/>
  <c r="Q34" i="24"/>
  <c r="P34" i="24"/>
  <c r="P26" i="24" s="1"/>
  <c r="O34" i="24"/>
  <c r="O26" i="24" s="1"/>
  <c r="N34" i="24"/>
  <c r="N26" i="24" s="1"/>
  <c r="M34" i="24"/>
  <c r="M26" i="24" s="1"/>
  <c r="L34" i="24"/>
  <c r="L26" i="24" s="1"/>
  <c r="K34" i="24"/>
  <c r="K26" i="24" s="1"/>
  <c r="J34" i="24"/>
  <c r="J26" i="24" s="1"/>
  <c r="I34" i="24"/>
  <c r="I26" i="24" s="1"/>
  <c r="H34" i="24"/>
  <c r="H26" i="24" s="1"/>
  <c r="G34" i="24"/>
  <c r="F34" i="24"/>
  <c r="Q30" i="24"/>
  <c r="P30" i="24"/>
  <c r="O30" i="24"/>
  <c r="N30" i="24"/>
  <c r="M30" i="24"/>
  <c r="L30" i="24"/>
  <c r="K30" i="24"/>
  <c r="J30" i="24"/>
  <c r="I30" i="24"/>
  <c r="H30" i="24"/>
  <c r="G30" i="24"/>
  <c r="F30" i="24"/>
  <c r="R27" i="24"/>
  <c r="Q26" i="24"/>
  <c r="G26" i="24"/>
  <c r="F26" i="24"/>
  <c r="R23" i="24" l="1"/>
  <c r="M13" i="24"/>
  <c r="M12" i="24" s="1"/>
  <c r="M11" i="24" s="1"/>
  <c r="I13" i="24"/>
  <c r="I12" i="24" s="1"/>
  <c r="I11" i="24" s="1"/>
  <c r="F13" i="24"/>
  <c r="F12" i="24" s="1"/>
  <c r="J13" i="24"/>
  <c r="J12" i="24" s="1"/>
  <c r="J11" i="24" s="1"/>
  <c r="N13" i="24"/>
  <c r="N12" i="24" s="1"/>
  <c r="N11" i="24" s="1"/>
  <c r="G13" i="24"/>
  <c r="G12" i="24" s="1"/>
  <c r="G11" i="24" s="1"/>
  <c r="K13" i="24"/>
  <c r="K12" i="24" s="1"/>
  <c r="K11" i="24" s="1"/>
  <c r="O13" i="24"/>
  <c r="O12" i="24" s="1"/>
  <c r="O11" i="24" s="1"/>
  <c r="R38" i="24"/>
  <c r="L13" i="24"/>
  <c r="L12" i="24" s="1"/>
  <c r="L11" i="24" s="1"/>
  <c r="R42" i="24"/>
  <c r="R45" i="24"/>
  <c r="H13" i="24"/>
  <c r="H12" i="24" s="1"/>
  <c r="H11" i="24" s="1"/>
  <c r="P13" i="24"/>
  <c r="P12" i="24" s="1"/>
  <c r="P11" i="24" s="1"/>
  <c r="R26" i="24"/>
  <c r="Q13" i="24"/>
  <c r="Q12" i="24" s="1"/>
  <c r="Q11" i="24" s="1"/>
  <c r="R30" i="24"/>
  <c r="R34" i="24"/>
  <c r="R49" i="24"/>
  <c r="R48" i="24"/>
  <c r="V28" i="3"/>
  <c r="Y28" i="3" s="1"/>
  <c r="S28" i="3"/>
  <c r="Q28" i="3"/>
  <c r="P28" i="3"/>
  <c r="O28" i="3"/>
  <c r="N28" i="3"/>
  <c r="L28" i="3"/>
  <c r="K28" i="3"/>
  <c r="J28" i="3"/>
  <c r="R13" i="24" l="1"/>
  <c r="R12" i="24"/>
  <c r="F11" i="24"/>
  <c r="R11" i="24" s="1"/>
  <c r="G22" i="14" l="1"/>
  <c r="G21" i="14"/>
  <c r="G20" i="14"/>
  <c r="G19" i="14"/>
  <c r="V54" i="3"/>
  <c r="V53" i="3"/>
  <c r="V50" i="3"/>
  <c r="V43" i="3"/>
  <c r="V39" i="3"/>
  <c r="V31" i="3" s="1"/>
  <c r="U54" i="3"/>
  <c r="U53" i="3" s="1"/>
  <c r="T54" i="3"/>
  <c r="T53" i="3" s="1"/>
  <c r="U50" i="3"/>
  <c r="T50" i="3"/>
  <c r="U43" i="3"/>
  <c r="T43" i="3"/>
  <c r="U39" i="3"/>
  <c r="T39" i="3"/>
  <c r="T31" i="3" s="1"/>
  <c r="S54" i="3"/>
  <c r="S53" i="3" s="1"/>
  <c r="S50" i="3"/>
  <c r="S39" i="3"/>
  <c r="S31" i="3" s="1"/>
  <c r="U31" i="3" l="1"/>
  <c r="Y31" i="3" s="1"/>
  <c r="Y39" i="3"/>
  <c r="Y43" i="3"/>
  <c r="V19" i="3"/>
  <c r="V17" i="3" s="1"/>
  <c r="V15" i="3" s="1"/>
  <c r="S19" i="3"/>
  <c r="S17" i="3" s="1"/>
  <c r="S15" i="3" s="1"/>
  <c r="U19" i="3" l="1"/>
  <c r="U17" i="3" s="1"/>
  <c r="U15" i="3" s="1"/>
  <c r="W15" i="3" s="1"/>
  <c r="S11" i="24"/>
  <c r="G30" i="14"/>
  <c r="G29" i="14"/>
  <c r="G28" i="14"/>
  <c r="G27" i="14"/>
  <c r="G34" i="14"/>
  <c r="G33" i="14"/>
  <c r="G32" i="14"/>
  <c r="G31" i="14"/>
  <c r="G26" i="14"/>
  <c r="G25" i="14"/>
  <c r="G24" i="14"/>
  <c r="G18" i="14"/>
  <c r="G17" i="14"/>
  <c r="G16" i="14"/>
  <c r="G15" i="14"/>
  <c r="G35" i="14" l="1"/>
  <c r="G36" i="14"/>
  <c r="G37" i="14"/>
  <c r="G38" i="14"/>
  <c r="G51" i="14" l="1"/>
  <c r="G50" i="14"/>
  <c r="G49" i="14"/>
  <c r="G48" i="14"/>
  <c r="G47" i="14"/>
  <c r="G46" i="14"/>
  <c r="G45" i="14"/>
  <c r="G44" i="14"/>
  <c r="L14" i="5"/>
  <c r="K14" i="5" s="1"/>
  <c r="G14" i="5"/>
  <c r="F14" i="5"/>
  <c r="Q54" i="3"/>
  <c r="Q53" i="3" s="1"/>
  <c r="P54" i="3"/>
  <c r="P53" i="3" s="1"/>
  <c r="O54" i="3"/>
  <c r="O53" i="3" s="1"/>
  <c r="N54" i="3"/>
  <c r="L54" i="3"/>
  <c r="L53" i="3" s="1"/>
  <c r="K54" i="3"/>
  <c r="K53" i="3" s="1"/>
  <c r="J54" i="3"/>
  <c r="J53" i="3" s="1"/>
  <c r="N53" i="3"/>
  <c r="Q50" i="3"/>
  <c r="P50" i="3"/>
  <c r="O50" i="3"/>
  <c r="N50" i="3"/>
  <c r="L50" i="3"/>
  <c r="K50" i="3"/>
  <c r="J50" i="3"/>
  <c r="Q43" i="3"/>
  <c r="P43" i="3"/>
  <c r="O43" i="3"/>
  <c r="N43" i="3"/>
  <c r="L43" i="3"/>
  <c r="K43" i="3"/>
  <c r="J43" i="3"/>
  <c r="Q39" i="3"/>
  <c r="Q31" i="3" s="1"/>
  <c r="P39" i="3"/>
  <c r="P31" i="3" s="1"/>
  <c r="O39" i="3"/>
  <c r="O31" i="3" s="1"/>
  <c r="N39" i="3"/>
  <c r="N31" i="3" s="1"/>
  <c r="L39" i="3"/>
  <c r="L31" i="3" s="1"/>
  <c r="L19" i="3" s="1"/>
  <c r="K31" i="3"/>
  <c r="K19" i="3" s="1"/>
  <c r="J39" i="3"/>
  <c r="R19" i="3"/>
  <c r="R17" i="3" s="1"/>
  <c r="M17" i="3"/>
  <c r="L17" i="3" l="1"/>
  <c r="L15" i="3" s="1"/>
  <c r="K17" i="3"/>
  <c r="K15" i="3" s="1"/>
  <c r="P19" i="3"/>
  <c r="P17" i="3" s="1"/>
  <c r="P15" i="3" s="1"/>
  <c r="T19" i="3"/>
  <c r="T17" i="3" s="1"/>
  <c r="T15" i="3" s="1"/>
  <c r="J17" i="3"/>
  <c r="J15" i="3" s="1"/>
  <c r="M14" i="5"/>
  <c r="N14" i="5"/>
  <c r="I14" i="5"/>
  <c r="Q19" i="3"/>
  <c r="Q17" i="3" s="1"/>
  <c r="Q15" i="3" s="1"/>
  <c r="O19" i="3"/>
  <c r="O17" i="3" s="1"/>
  <c r="O15" i="3" s="1"/>
  <c r="N19" i="3"/>
  <c r="N17" i="3" s="1"/>
  <c r="N15" i="3" s="1"/>
</calcChain>
</file>

<file path=xl/sharedStrings.xml><?xml version="1.0" encoding="utf-8"?>
<sst xmlns="http://schemas.openxmlformats.org/spreadsheetml/2006/main" count="380" uniqueCount="164">
  <si>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</si>
  <si>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</si>
  <si>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</si>
  <si>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</si>
  <si>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</si>
  <si>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</si>
  <si>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</si>
  <si>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</si>
  <si>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</si>
  <si>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</si>
  <si>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</si>
  <si>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</si>
  <si>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</si>
  <si>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</si>
  <si>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</si>
  <si>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</si>
  <si>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</si>
  <si>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</si>
  <si>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</si>
  <si>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</si>
  <si>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</si>
  <si>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</si>
  <si>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</si>
  <si>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</si>
  <si>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</si>
  <si>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</si>
  <si>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</si>
  <si>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</si>
  <si>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</si>
  <si>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</si>
  <si>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</si>
  <si>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</si>
  <si>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</si>
  <si>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</si>
  <si>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</si>
  <si>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</si>
  <si>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</si>
  <si>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</si>
  <si>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</si>
  <si>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</si>
  <si>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</si>
  <si>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</si>
  <si>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</si>
  <si>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</si>
  <si>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</si>
  <si>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</si>
  <si>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</si>
  <si>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</si>
  <si>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</si>
  <si>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</si>
  <si>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</si>
  <si>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</si>
  <si>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</si>
  <si>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</si>
  <si>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</si>
  <si>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</si>
  <si>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</si>
  <si>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</si>
  <si>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</si>
  <si>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</si>
  <si>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</si>
  <si>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</si>
  <si>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</si>
  <si>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</si>
  <si>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</si>
  <si>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</si>
  <si>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</si>
  <si>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</si>
  <si>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</si>
  <si>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</si>
  <si>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</si>
  <si>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</si>
  <si>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</si>
  <si>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</si>
  <si>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</si>
  <si>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</si>
  <si>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</si>
  <si>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</si>
  <si>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</si>
  <si>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</si>
  <si>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</si>
  <si>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</si>
  <si>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</si>
  <si>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</si>
  <si>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</si>
  <si>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</si>
  <si>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</si>
  <si>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</si>
  <si>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</si>
  <si>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</si>
  <si>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</si>
  <si>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</si>
  <si>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</si>
  <si>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</si>
  <si>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</si>
  <si>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</si>
  <si>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</si>
  <si>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</si>
  <si>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</si>
  <si>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</si>
  <si>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</si>
  <si>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</si>
  <si>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</si>
  <si>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</si>
  <si>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</si>
  <si>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</si>
  <si>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</si>
  <si>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</si>
  <si>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</si>
  <si>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</si>
  <si>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</si>
  <si>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</si>
  <si>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</si>
  <si>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</si>
  <si>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</si>
  <si>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</si>
  <si>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</si>
  <si>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Elaboró:</t>
  </si>
  <si>
    <t xml:space="preserve">Cargo: SUBGERENTE DE FINANZAS Y CONTROL 
</t>
  </si>
  <si>
    <t>Revisó : ____________________________________________________</t>
  </si>
  <si>
    <t>OBTENIDO 2014</t>
  </si>
  <si>
    <t>CIFRAS AL MES DE:</t>
  </si>
  <si>
    <t>Recaudado en el ejercicio anterior</t>
  </si>
  <si>
    <t>INGRESOS DIVERSOS</t>
  </si>
  <si>
    <t xml:space="preserve"> </t>
  </si>
  <si>
    <t>VENTA DE INVERSIONES</t>
  </si>
  <si>
    <t>OBTENIDO 2015</t>
  </si>
  <si>
    <t>VARIACIÓN 2015</t>
  </si>
  <si>
    <t xml:space="preserve">Nombre : LIC. ELISA LUGO IPIÑA
</t>
  </si>
  <si>
    <t>Recuperación de Seguros por siniestro</t>
  </si>
  <si>
    <t xml:space="preserve">           GERENTE  DE ADMINISTRACIÓN Y FINANZAS
</t>
  </si>
  <si>
    <t>Informe Analítico de Ingresos Totales 2016</t>
  </si>
  <si>
    <t>Calendario de Ingresos 2016</t>
  </si>
  <si>
    <t>Pesos Sin Centavos</t>
  </si>
  <si>
    <t>ENE-DIC</t>
  </si>
  <si>
    <t>Ingresos por  refacturación</t>
  </si>
  <si>
    <t>Creditos Fiscales</t>
  </si>
  <si>
    <t>NOTA: El formato es indicativo no limitativo, por lo que en caso de requerir más espacios, la Entidad deberá elaborarlo en la misma presentación y con las mismas características.</t>
  </si>
  <si>
    <t>En caso de no contemplar todos los rubros señalados se pueden eliminar renglones sobrantes o inutilizados.</t>
  </si>
  <si>
    <t>firma</t>
  </si>
  <si>
    <t>Revisó:</t>
  </si>
  <si>
    <t>Autorizó:</t>
  </si>
  <si>
    <t>Nombre: LIC. ELISA LUGO IPIÑA</t>
  </si>
  <si>
    <t>Nombre: MARIA YSAURA MORENO ALAMINA</t>
  </si>
  <si>
    <t>Cargo: SUBGERENTE DE FINANZAS Y CONTROL</t>
  </si>
  <si>
    <t>Cargo: GERENTE DE ADMINISTRACIÓN Y FINANZAS</t>
  </si>
  <si>
    <t>Cargo: DIRECTORA GENERAL DE FIDERE III</t>
  </si>
  <si>
    <t>Créditos Fiscales</t>
  </si>
  <si>
    <t>Informe de Aplicación de los Ingresos Propios 2016</t>
  </si>
  <si>
    <t>Ingresos Obtenidos 2016</t>
  </si>
  <si>
    <t>CUADRO DE EXPLICACIÓN DE LAS VARIACIONES 2016</t>
  </si>
  <si>
    <t>OBTENIDO 2016</t>
  </si>
  <si>
    <t>Calendario  Modificado de Ingresos 2016</t>
  </si>
  <si>
    <t>Sin variación</t>
  </si>
  <si>
    <t>JUNIO</t>
  </si>
  <si>
    <t>Acumulado al mes de: JUNIO</t>
  </si>
  <si>
    <t>ACUMULADO AL MES DE: JUNIO</t>
  </si>
  <si>
    <t>La variación de  $919,870.94 siendo inferior en un 3.41% a lo programado, se deriva al desfase en el pago de comisiones conforme al convenio celebrado con la Secretaria de Finanzas referente a las notificaciones de los créditos fiscales, que realiza esta entidad.</t>
  </si>
  <si>
    <t>Se tiene una variación de   $749,783.20 que representa el 2.80% ,  por una captación menor de recursos en la recaudación de comisiones por el abatimiento de la cartera administrada  por  los finiquitos de los créditos que realizan los acreditados en forma anticipada al vencimiento del plazo aunado con la terminación del convenio con  Fondo para Desarrollo Social   (Mypes)y (Microcréditos).</t>
  </si>
  <si>
    <t>La diferencia de $1,195,980.19  que representa el 1,260.39%, es por una mayor recuperación por $42,980.19 de las carteras propias de Renovación Habitación Popular ( R.H.P)., Fondo de Desarrollo Económico Cartera Mypes Locales y Federales,  Fondo para la Consolidación de la Micro Empresa (Focomi Mypes),  Cartera FONDECO D.F.   por las acciones de cobranza judicial, como recordatorios de pago, llamadas telefónicas, etc. y al reconocimiento de nuestros remanentes presupuestales por $1,153,000.00 como apoyo a los gastos del fideicomiso.</t>
  </si>
  <si>
    <t>La diferencia de $ 1,110,272.57  que representa el 614.78,  es por una recuperación mayor por  $28,175.14 de las carteras propias  Renovación Habitación Popular( R.H.P)., Fondo de Desarrollo Económico Cartera Mypes Locales y Federales,  Fondo para la Consolidación de la Micro Empresa (Focomi Mypes) ,  Cartera FONDECO D.F. propiedad de FIDERE,  por  las acciones de cobranza judicial, como recordatorios de pago, llamadas telefónicas, etc. y al reconocimiento de nuestros remanentes presupuestales por $1,153,000.00 como apoyo a los gastos del fideicomiso, así como una menor cantidad por $70,902.75 por  pago de siniestro en el ejercicio 2015</t>
  </si>
  <si>
    <t>Se obtuvieron mayores ingresos por $396,142.25  siendo el 64.25%  en los intereses que dan las instituciones bancarias por la inversión sobre la recuperación de las carteras administradas, por un incremento en la tasa de inversión.</t>
  </si>
  <si>
    <t>Se obtuvieron mayores ingresos por $243,208.44  siendo el 31.61%  en los intereses que dan las instituciones bancarias por la inversión sobre la recuperación de las carteras administradas, por un incremento en la tasa de inversión.</t>
  </si>
  <si>
    <t xml:space="preserve">Se tiene una variación de $395,725.00 siendo superior en un 3.60% al año anterior por los recursos autorizados como apoyo a las finanzas del fideicomiso para cubrir sueldos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</si>
</sst>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 numFmtId="171" formatCode="#,##0.00;[Red]#,##0.00"/>
  </numFmts>
  <fonts count="49">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0"/>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
      <sz val="12"/>
      <name val="Arial"/>
      <family val="2"/>
    </font>
    <font>
      <b/>
      <sz val="10.5"/>
      <name val="Arial"/>
      <family val="2"/>
    </font>
    <font>
      <b/>
      <sz val="10.5"/>
      <color rgb="FF000000"/>
      <name val="Arial"/>
      <family val="2"/>
    </font>
    <font>
      <sz val="10.5"/>
      <name val="Arial"/>
      <family val="2"/>
    </font>
    <font>
      <sz val="10"/>
      <name val="Arial"/>
      <family val="2"/>
    </font>
    <font>
      <sz val="18"/>
      <name val="Gotham"/>
      <family val="3"/>
    </font>
    <font>
      <b/>
      <sz val="16"/>
      <name val="Gotham"/>
      <family val="3"/>
    </font>
    <font>
      <sz val="14"/>
      <name val="Gotham"/>
      <family val="3"/>
    </font>
  </fonts>
  <fills count="6">
    <fill>
      <patternFill patternType="none"/>
    </fill>
    <fill>
      <patternFill patternType="gray125"/>
    </fill>
    <fill>
      <patternFill patternType="solid">
        <fgColor rgb="FF75A729"/>
        <bgColor indexed="64"/>
      </patternFill>
    </fill>
    <fill>
      <patternFill patternType="solid">
        <fgColor rgb="FFCCCCCC"/>
        <bgColor indexed="64"/>
      </patternFill>
    </fill>
    <fill>
      <patternFill patternType="solid">
        <fgColor rgb="FFFF33CC"/>
        <bgColor indexed="64"/>
      </patternFill>
    </fill>
    <fill>
      <patternFill patternType="solid">
        <fgColor rgb="FFFF3399"/>
        <bgColor indexed="64"/>
      </patternFill>
    </fill>
  </fills>
  <borders count="75">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style="thick">
        <color auto="1"/>
      </top>
      <bottom/>
      <diagonal/>
    </border>
  </borders>
  <cellStyleXfs count="10">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xf numFmtId="43" fontId="45" fillId="0" borderId="0" applyFont="0" applyFill="0" applyBorder="0" applyAlignment="0" applyProtection="0"/>
  </cellStyleXfs>
  <cellXfs count="372">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3" borderId="0" xfId="0" applyFont="1" applyFill="1" applyAlignment="1">
      <alignment horizontal="left" vertical="center"/>
    </xf>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3" borderId="18" xfId="0" applyFont="1" applyFill="1" applyBorder="1" applyAlignment="1">
      <alignment horizontal="center" vertical="center" wrapText="1"/>
    </xf>
    <xf numFmtId="4" fontId="11" fillId="3" borderId="18" xfId="0" applyNumberFormat="1" applyFont="1" applyFill="1" applyBorder="1" applyAlignment="1">
      <alignment horizontal="right"/>
    </xf>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0" fontId="14" fillId="0" borderId="0" xfId="0" applyFont="1" applyBorder="1"/>
    <xf numFmtId="0" fontId="13" fillId="0" borderId="0" xfId="0" applyFont="1" applyBorder="1"/>
    <xf numFmtId="0" fontId="11" fillId="3" borderId="18" xfId="0" applyFont="1" applyFill="1" applyBorder="1" applyAlignment="1">
      <alignment horizontal="left" vertical="center" wrapText="1" indent="3"/>
    </xf>
    <xf numFmtId="0" fontId="11" fillId="3"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4" fillId="0" borderId="0" xfId="0" applyFont="1"/>
    <xf numFmtId="0" fontId="8" fillId="0" borderId="0" xfId="0" applyFont="1" applyFill="1"/>
    <xf numFmtId="4" fontId="8" fillId="0" borderId="0" xfId="0" applyNumberFormat="1" applyFont="1"/>
    <xf numFmtId="4" fontId="8" fillId="0" borderId="0" xfId="0" applyNumberFormat="1" applyFont="1" applyBorder="1"/>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4" fontId="11" fillId="0" borderId="18" xfId="0" applyNumberFormat="1" applyFont="1" applyBorder="1" applyAlignment="1">
      <alignment horizontal="right"/>
    </xf>
    <xf numFmtId="4" fontId="12" fillId="0" borderId="18" xfId="0" applyNumberFormat="1" applyFont="1" applyBorder="1" applyAlignment="1">
      <alignment horizontal="right"/>
    </xf>
    <xf numFmtId="0" fontId="12" fillId="0" borderId="18" xfId="0" applyFont="1" applyFill="1" applyBorder="1"/>
    <xf numFmtId="4" fontId="12" fillId="0" borderId="9" xfId="0" applyNumberFormat="1" applyFont="1" applyBorder="1" applyAlignment="1">
      <alignment horizontal="right"/>
    </xf>
    <xf numFmtId="166" fontId="11" fillId="0" borderId="0" xfId="0" applyNumberFormat="1" applyFont="1" applyFill="1" applyBorder="1"/>
    <xf numFmtId="0" fontId="11" fillId="0" borderId="0" xfId="0" applyFont="1" applyFill="1"/>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2" fillId="0" borderId="0" xfId="0" applyFont="1" applyFill="1" applyBorder="1" applyAlignment="1" applyProtection="1">
      <alignment horizontal="left" wrapText="1" indent="2"/>
    </xf>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31"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3" borderId="54" xfId="0" applyFont="1" applyFill="1" applyBorder="1" applyAlignment="1">
      <alignment horizontal="left" vertical="center"/>
    </xf>
    <xf numFmtId="43" fontId="12" fillId="0" borderId="13" xfId="4" applyFont="1" applyBorder="1" applyAlignment="1">
      <alignment vertical="center"/>
    </xf>
    <xf numFmtId="4" fontId="11" fillId="0" borderId="36" xfId="0" applyNumberFormat="1" applyFont="1" applyFill="1" applyBorder="1" applyAlignment="1">
      <alignment horizontal="right"/>
    </xf>
    <xf numFmtId="0" fontId="33" fillId="0" borderId="0" xfId="0" applyFont="1" applyAlignment="1">
      <alignment horizontal="center" vertical="center"/>
    </xf>
    <xf numFmtId="0" fontId="34" fillId="0" borderId="0" xfId="0" applyFont="1"/>
    <xf numFmtId="0" fontId="32"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3" borderId="0" xfId="7" applyFont="1" applyFill="1" applyBorder="1" applyAlignment="1" applyProtection="1">
      <alignment horizontal="left" vertical="center" wrapText="1"/>
    </xf>
    <xf numFmtId="166" fontId="11" fillId="3"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3"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4" fontId="30" fillId="0" borderId="0" xfId="7" applyNumberFormat="1" applyFont="1" applyAlignment="1">
      <alignment vertical="center"/>
    </xf>
    <xf numFmtId="4" fontId="1" fillId="0" borderId="0" xfId="7" applyNumberFormat="1" applyFont="1" applyAlignment="1">
      <alignment vertical="center"/>
    </xf>
    <xf numFmtId="4" fontId="5" fillId="0" borderId="0" xfId="7" applyNumberFormat="1" applyFont="1"/>
    <xf numFmtId="4" fontId="30" fillId="0" borderId="54" xfId="7" applyNumberFormat="1" applyFont="1" applyBorder="1" applyAlignment="1">
      <alignment vertical="center"/>
    </xf>
    <xf numFmtId="4" fontId="3" fillId="0" borderId="0" xfId="7" applyNumberFormat="1"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9" fillId="0" borderId="0" xfId="0" applyFont="1"/>
    <xf numFmtId="0" fontId="39" fillId="0" borderId="0" xfId="0" applyFont="1" applyAlignment="1">
      <alignment horizontal="left" vertical="center"/>
    </xf>
    <xf numFmtId="0" fontId="39" fillId="0" borderId="0" xfId="2" applyFont="1"/>
    <xf numFmtId="165" fontId="8" fillId="0" borderId="62" xfId="1" applyNumberFormat="1" applyFont="1" applyFill="1" applyBorder="1" applyAlignment="1">
      <alignment horizontal="right" vertical="center"/>
    </xf>
    <xf numFmtId="0" fontId="39" fillId="0" borderId="0" xfId="0" applyFont="1" applyAlignment="1">
      <alignment vertical="center"/>
    </xf>
    <xf numFmtId="0" fontId="39" fillId="0" borderId="0" xfId="0" applyFont="1"/>
    <xf numFmtId="166" fontId="12" fillId="0" borderId="18" xfId="0" applyNumberFormat="1" applyFont="1" applyFill="1" applyBorder="1"/>
    <xf numFmtId="43" fontId="21" fillId="0" borderId="32" xfId="4" applyFont="1" applyFill="1" applyBorder="1" applyAlignment="1">
      <alignment horizontal="right" vertical="center"/>
    </xf>
    <xf numFmtId="43" fontId="21" fillId="0" borderId="9" xfId="4" applyFont="1" applyFill="1" applyBorder="1" applyAlignment="1">
      <alignment horizontal="right" vertical="center"/>
    </xf>
    <xf numFmtId="43" fontId="21" fillId="0" borderId="8" xfId="4" applyFont="1" applyFill="1" applyBorder="1" applyAlignment="1">
      <alignment horizontal="right" vertical="center"/>
    </xf>
    <xf numFmtId="43" fontId="21" fillId="0" borderId="35" xfId="4" applyFont="1" applyFill="1" applyBorder="1" applyAlignment="1">
      <alignment horizontal="right" vertical="center"/>
    </xf>
    <xf numFmtId="43" fontId="21" fillId="0" borderId="18" xfId="4" applyFont="1" applyFill="1" applyBorder="1" applyAlignment="1">
      <alignment horizontal="right" vertical="center"/>
    </xf>
    <xf numFmtId="43" fontId="21" fillId="0" borderId="34" xfId="4" applyFont="1" applyFill="1" applyBorder="1" applyAlignment="1">
      <alignment horizontal="right" vertical="center"/>
    </xf>
    <xf numFmtId="43" fontId="21" fillId="0" borderId="33" xfId="4" applyFont="1" applyFill="1" applyBorder="1" applyAlignment="1">
      <alignment horizontal="right" vertical="center"/>
    </xf>
    <xf numFmtId="43" fontId="10" fillId="0" borderId="32" xfId="4" applyFont="1" applyFill="1" applyBorder="1" applyAlignment="1">
      <alignment horizontal="right"/>
    </xf>
    <xf numFmtId="43" fontId="10" fillId="0" borderId="9" xfId="4" applyFont="1" applyFill="1" applyBorder="1" applyAlignment="1">
      <alignment horizontal="right" vertical="center"/>
    </xf>
    <xf numFmtId="43" fontId="10" fillId="0" borderId="8" xfId="4" applyFont="1" applyFill="1" applyBorder="1" applyAlignment="1">
      <alignment horizontal="right"/>
    </xf>
    <xf numFmtId="43" fontId="10" fillId="0" borderId="35" xfId="4" applyFont="1" applyFill="1" applyBorder="1" applyAlignment="1">
      <alignment horizontal="right" vertical="center"/>
    </xf>
    <xf numFmtId="43" fontId="10" fillId="0" borderId="18" xfId="4" applyFont="1" applyFill="1" applyBorder="1" applyAlignment="1">
      <alignment horizontal="right"/>
    </xf>
    <xf numFmtId="43" fontId="10" fillId="0" borderId="18" xfId="4" applyFont="1" applyFill="1" applyBorder="1" applyAlignment="1">
      <alignment horizontal="right" vertical="center"/>
    </xf>
    <xf numFmtId="43" fontId="10" fillId="0" borderId="34" xfId="4" applyFont="1" applyFill="1" applyBorder="1" applyAlignment="1">
      <alignment horizontal="right"/>
    </xf>
    <xf numFmtId="167" fontId="10" fillId="0" borderId="8" xfId="1" applyNumberFormat="1" applyFont="1" applyFill="1" applyBorder="1" applyAlignment="1">
      <alignment horizontal="right"/>
    </xf>
    <xf numFmtId="167" fontId="10" fillId="0" borderId="33" xfId="1" applyNumberFormat="1" applyFont="1" applyFill="1" applyBorder="1" applyAlignment="1">
      <alignment horizontal="right" vertical="center"/>
    </xf>
    <xf numFmtId="0" fontId="8" fillId="0" borderId="57" xfId="0" applyFont="1" applyFill="1" applyBorder="1"/>
    <xf numFmtId="0" fontId="12" fillId="0" borderId="8" xfId="0" applyFont="1" applyFill="1" applyBorder="1"/>
    <xf numFmtId="0" fontId="0" fillId="0" borderId="0" xfId="0" applyFill="1"/>
    <xf numFmtId="0" fontId="29" fillId="0" borderId="18" xfId="0" applyFont="1" applyFill="1" applyBorder="1"/>
    <xf numFmtId="0" fontId="12" fillId="0" borderId="9" xfId="0" applyFont="1" applyFill="1" applyBorder="1"/>
    <xf numFmtId="0" fontId="36" fillId="0" borderId="0" xfId="0" applyFont="1" applyFill="1"/>
    <xf numFmtId="0" fontId="11" fillId="0" borderId="18" xfId="0" applyFont="1" applyFill="1" applyBorder="1"/>
    <xf numFmtId="4" fontId="12" fillId="0" borderId="36" xfId="0" applyNumberFormat="1" applyFont="1" applyBorder="1" applyAlignment="1">
      <alignment horizontal="right"/>
    </xf>
    <xf numFmtId="4" fontId="12" fillId="0" borderId="36" xfId="0" applyNumberFormat="1" applyFont="1" applyFill="1" applyBorder="1" applyAlignment="1">
      <alignment horizontal="right"/>
    </xf>
    <xf numFmtId="4" fontId="11" fillId="3" borderId="36" xfId="0" applyNumberFormat="1" applyFont="1" applyFill="1" applyBorder="1" applyAlignment="1">
      <alignment horizontal="right"/>
    </xf>
    <xf numFmtId="4" fontId="12" fillId="0" borderId="18" xfId="7" applyNumberFormat="1" applyFont="1" applyFill="1" applyBorder="1" applyAlignment="1">
      <alignment vertical="center"/>
    </xf>
    <xf numFmtId="0" fontId="42" fillId="0" borderId="54" xfId="7" applyFont="1" applyBorder="1" applyAlignment="1">
      <alignment vertical="center"/>
    </xf>
    <xf numFmtId="4" fontId="44" fillId="0" borderId="0" xfId="7" applyNumberFormat="1" applyFont="1" applyAlignment="1">
      <alignment vertical="center"/>
    </xf>
    <xf numFmtId="4" fontId="42" fillId="0" borderId="0" xfId="7" applyNumberFormat="1" applyFont="1" applyAlignment="1">
      <alignment vertical="center"/>
    </xf>
    <xf numFmtId="0" fontId="44" fillId="0" borderId="0" xfId="7" applyFont="1" applyAlignment="1">
      <alignment vertical="center"/>
    </xf>
    <xf numFmtId="0" fontId="42" fillId="0" borderId="0" xfId="7" applyFont="1"/>
    <xf numFmtId="0" fontId="42" fillId="0" borderId="0" xfId="7" applyFont="1" applyAlignment="1">
      <alignment vertical="center"/>
    </xf>
    <xf numFmtId="43" fontId="17" fillId="0" borderId="0" xfId="1" applyNumberFormat="1" applyFont="1" applyFill="1"/>
    <xf numFmtId="0" fontId="23" fillId="0" borderId="0" xfId="0" applyFont="1" applyAlignment="1">
      <alignment vertical="center"/>
    </xf>
    <xf numFmtId="0" fontId="24" fillId="0" borderId="0" xfId="0" applyFont="1" applyAlignment="1">
      <alignment vertical="center"/>
    </xf>
    <xf numFmtId="0" fontId="46" fillId="0" borderId="0" xfId="0" applyFont="1" applyAlignment="1">
      <alignment vertical="center"/>
    </xf>
    <xf numFmtId="0" fontId="46" fillId="0" borderId="0" xfId="0" applyFont="1"/>
    <xf numFmtId="0" fontId="2" fillId="0" borderId="0" xfId="0" applyFont="1"/>
    <xf numFmtId="0" fontId="47" fillId="0" borderId="0" xfId="0" applyFont="1"/>
    <xf numFmtId="0" fontId="48" fillId="0" borderId="0" xfId="0" applyFont="1" applyAlignment="1">
      <alignment vertical="center"/>
    </xf>
    <xf numFmtId="0" fontId="48" fillId="0" borderId="0" xfId="0" applyFont="1"/>
    <xf numFmtId="0" fontId="47" fillId="0" borderId="0" xfId="0" applyFont="1" applyAlignment="1">
      <alignment vertical="center"/>
    </xf>
    <xf numFmtId="0" fontId="3" fillId="0" borderId="0" xfId="0" applyFont="1"/>
    <xf numFmtId="0" fontId="48" fillId="0" borderId="0" xfId="0" applyFont="1" applyAlignment="1">
      <alignment horizontal="center" vertical="center"/>
    </xf>
    <xf numFmtId="0" fontId="39" fillId="4" borderId="1" xfId="0" applyFont="1" applyFill="1" applyBorder="1" applyAlignment="1">
      <alignment horizontal="center" vertical="center"/>
    </xf>
    <xf numFmtId="0" fontId="46" fillId="0" borderId="0" xfId="0" applyFont="1" applyFill="1"/>
    <xf numFmtId="43" fontId="11" fillId="0" borderId="0" xfId="9" applyFont="1" applyFill="1"/>
    <xf numFmtId="43" fontId="36" fillId="0" borderId="0" xfId="9" applyFont="1" applyFill="1"/>
    <xf numFmtId="43" fontId="12" fillId="0" borderId="0" xfId="9" applyFont="1" applyFill="1"/>
    <xf numFmtId="0" fontId="11" fillId="0" borderId="0" xfId="0" applyFont="1" applyFill="1" applyAlignment="1">
      <alignment wrapText="1"/>
    </xf>
    <xf numFmtId="0" fontId="12" fillId="0" borderId="0" xfId="0" applyFont="1" applyFill="1" applyBorder="1" applyAlignment="1" applyProtection="1">
      <alignment wrapText="1"/>
    </xf>
    <xf numFmtId="171" fontId="12" fillId="0" borderId="0" xfId="0" applyNumberFormat="1" applyFont="1" applyFill="1"/>
    <xf numFmtId="43" fontId="12" fillId="0" borderId="0" xfId="0" applyNumberFormat="1" applyFont="1" applyFill="1"/>
    <xf numFmtId="0" fontId="11" fillId="0" borderId="19" xfId="0" applyFont="1" applyFill="1" applyBorder="1" applyAlignment="1" applyProtection="1">
      <alignment horizontal="left" vertical="center" wrapText="1"/>
    </xf>
    <xf numFmtId="4" fontId="12" fillId="0" borderId="19" xfId="0" applyNumberFormat="1" applyFont="1" applyFill="1" applyBorder="1" applyAlignment="1">
      <alignment vertical="center"/>
    </xf>
    <xf numFmtId="166" fontId="5" fillId="0" borderId="0" xfId="0" applyNumberFormat="1" applyFont="1" applyFill="1"/>
    <xf numFmtId="0" fontId="5" fillId="0" borderId="0" xfId="0" applyFont="1" applyFill="1"/>
    <xf numFmtId="0" fontId="5" fillId="0" borderId="0" xfId="0" applyFont="1"/>
    <xf numFmtId="4" fontId="12" fillId="0" borderId="0" xfId="0" applyNumberFormat="1" applyFont="1" applyAlignment="1">
      <alignment vertical="center"/>
    </xf>
    <xf numFmtId="0" fontId="48" fillId="0" borderId="74" xfId="0" applyFont="1" applyBorder="1" applyAlignment="1">
      <alignment horizontal="center" vertical="center"/>
    </xf>
    <xf numFmtId="0" fontId="48" fillId="0" borderId="0" xfId="0" applyFont="1" applyBorder="1" applyAlignment="1">
      <alignment vertical="center"/>
    </xf>
    <xf numFmtId="0" fontId="48" fillId="0" borderId="74" xfId="0" applyFont="1" applyBorder="1" applyAlignment="1">
      <alignment horizontal="center" vertical="center"/>
    </xf>
    <xf numFmtId="4" fontId="5" fillId="0" borderId="0" xfId="0" applyNumberFormat="1" applyFont="1"/>
    <xf numFmtId="4" fontId="39" fillId="0" borderId="0" xfId="0" applyNumberFormat="1" applyFont="1" applyBorder="1"/>
    <xf numFmtId="4" fontId="39" fillId="0" borderId="0" xfId="0" applyNumberFormat="1" applyFont="1"/>
    <xf numFmtId="4" fontId="3" fillId="0" borderId="0" xfId="0" applyNumberFormat="1" applyFont="1"/>
    <xf numFmtId="0" fontId="38" fillId="5" borderId="0" xfId="0" applyFont="1" applyFill="1"/>
    <xf numFmtId="0" fontId="37" fillId="5" borderId="6" xfId="0" applyFont="1" applyFill="1" applyBorder="1" applyAlignment="1">
      <alignment horizontal="center" vertical="center"/>
    </xf>
    <xf numFmtId="0" fontId="37" fillId="5" borderId="11" xfId="0" applyFont="1" applyFill="1" applyBorder="1" applyAlignment="1">
      <alignment horizontal="center" vertical="center"/>
    </xf>
    <xf numFmtId="0" fontId="12" fillId="5" borderId="0" xfId="0" applyFont="1" applyFill="1"/>
    <xf numFmtId="0" fontId="11" fillId="5" borderId="3" xfId="0" applyFont="1" applyFill="1" applyBorder="1" applyAlignment="1">
      <alignment horizontal="center"/>
    </xf>
    <xf numFmtId="0" fontId="11" fillId="5" borderId="3" xfId="0" applyFont="1" applyFill="1" applyBorder="1" applyAlignment="1">
      <alignment horizontal="center" vertical="center"/>
    </xf>
    <xf numFmtId="0" fontId="36" fillId="5" borderId="0" xfId="0" applyFont="1" applyFill="1"/>
    <xf numFmtId="0" fontId="35" fillId="5" borderId="43" xfId="0" applyFont="1" applyFill="1" applyBorder="1" applyAlignment="1">
      <alignment horizontal="center" vertical="center"/>
    </xf>
    <xf numFmtId="0" fontId="36" fillId="5" borderId="0" xfId="0" applyFont="1" applyFill="1" applyBorder="1"/>
    <xf numFmtId="0" fontId="35" fillId="5" borderId="5" xfId="0" applyFont="1" applyFill="1" applyBorder="1" applyAlignment="1">
      <alignment horizontal="center" vertical="center"/>
    </xf>
    <xf numFmtId="0" fontId="35" fillId="5" borderId="6" xfId="0" applyFont="1" applyFill="1" applyBorder="1" applyAlignment="1">
      <alignment horizontal="center" vertical="center"/>
    </xf>
    <xf numFmtId="0" fontId="35" fillId="5" borderId="40" xfId="0" applyFont="1" applyFill="1" applyBorder="1" applyAlignment="1">
      <alignment horizontal="center" vertical="center"/>
    </xf>
    <xf numFmtId="0" fontId="35" fillId="5" borderId="7" xfId="0" applyFont="1" applyFill="1" applyBorder="1" applyAlignment="1">
      <alignment horizontal="center" vertical="center"/>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4" fontId="18" fillId="0" borderId="0" xfId="0" applyNumberFormat="1" applyFont="1" applyBorder="1"/>
    <xf numFmtId="0" fontId="12" fillId="0" borderId="18" xfId="0" applyFont="1" applyFill="1" applyBorder="1" applyAlignment="1" applyProtection="1">
      <alignment horizontal="left" wrapText="1" indent="2"/>
    </xf>
    <xf numFmtId="4" fontId="18" fillId="0" borderId="0" xfId="0" applyNumberFormat="1" applyFont="1"/>
    <xf numFmtId="43" fontId="8" fillId="0" borderId="0" xfId="4" applyFont="1"/>
    <xf numFmtId="0" fontId="15" fillId="0" borderId="0" xfId="0" applyFont="1" applyAlignment="1">
      <alignment horizontal="center" vertical="center"/>
    </xf>
    <xf numFmtId="0" fontId="35" fillId="5" borderId="63"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5" borderId="39" xfId="0" applyFont="1" applyFill="1" applyBorder="1" applyAlignment="1">
      <alignment horizontal="center" vertical="center" wrapText="1"/>
    </xf>
    <xf numFmtId="0" fontId="35" fillId="5" borderId="40" xfId="0" applyFont="1" applyFill="1" applyBorder="1" applyAlignment="1">
      <alignment horizontal="center" vertical="center" wrapText="1"/>
    </xf>
    <xf numFmtId="0" fontId="35" fillId="5" borderId="4" xfId="0" applyFont="1" applyFill="1" applyBorder="1" applyAlignment="1">
      <alignment horizontal="center" vertical="center"/>
    </xf>
    <xf numFmtId="0" fontId="35" fillId="5" borderId="61"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60" xfId="0" applyFont="1" applyFill="1" applyBorder="1" applyAlignment="1">
      <alignment horizontal="center" vertical="center" wrapText="1"/>
    </xf>
    <xf numFmtId="0" fontId="11" fillId="5" borderId="37" xfId="0" applyFont="1" applyFill="1" applyBorder="1" applyAlignment="1">
      <alignment horizontal="center"/>
    </xf>
    <xf numFmtId="0" fontId="11" fillId="5" borderId="41" xfId="0" applyFont="1" applyFill="1" applyBorder="1" applyAlignment="1">
      <alignment horizont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5" borderId="38" xfId="0" applyFont="1" applyFill="1" applyBorder="1" applyAlignment="1">
      <alignment horizontal="center"/>
    </xf>
    <xf numFmtId="0" fontId="7" fillId="5" borderId="2"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57" xfId="0" applyFont="1" applyFill="1" applyBorder="1" applyAlignment="1">
      <alignment horizontal="center" vertical="center" wrapText="1"/>
    </xf>
    <xf numFmtId="0" fontId="11" fillId="3" borderId="0" xfId="0" applyFont="1" applyFill="1" applyBorder="1" applyAlignment="1">
      <alignment horizontal="center" vertical="center"/>
    </xf>
    <xf numFmtId="0" fontId="0" fillId="0" borderId="57" xfId="0" applyBorder="1" applyAlignment="1"/>
    <xf numFmtId="0" fontId="9" fillId="0" borderId="0" xfId="0" applyFont="1" applyAlignment="1">
      <alignment horizontal="center" vertical="center"/>
    </xf>
    <xf numFmtId="0" fontId="37" fillId="5" borderId="42" xfId="0" applyFont="1" applyFill="1" applyBorder="1" applyAlignment="1">
      <alignment horizontal="center" vertical="center"/>
    </xf>
    <xf numFmtId="0" fontId="37" fillId="5" borderId="6" xfId="0" applyFont="1" applyFill="1" applyBorder="1" applyAlignment="1">
      <alignment horizontal="center" vertical="center"/>
    </xf>
    <xf numFmtId="0" fontId="37" fillId="5" borderId="42" xfId="0" applyFont="1" applyFill="1" applyBorder="1" applyAlignment="1">
      <alignment horizontal="center" vertical="center" wrapText="1"/>
    </xf>
    <xf numFmtId="0" fontId="37" fillId="5" borderId="6" xfId="0" applyFont="1" applyFill="1" applyBorder="1" applyAlignment="1">
      <alignment horizontal="center" vertical="center" wrapText="1"/>
    </xf>
    <xf numFmtId="0" fontId="37" fillId="5" borderId="44" xfId="0" applyFont="1" applyFill="1" applyBorder="1" applyAlignment="1">
      <alignment horizontal="center" vertical="center" wrapText="1"/>
    </xf>
    <xf numFmtId="0" fontId="37" fillId="5" borderId="45" xfId="0" applyFont="1" applyFill="1" applyBorder="1" applyAlignment="1">
      <alignment horizontal="center" vertical="center" wrapText="1"/>
    </xf>
    <xf numFmtId="0" fontId="37" fillId="5" borderId="43" xfId="0" applyFont="1" applyFill="1" applyBorder="1" applyAlignment="1">
      <alignment horizontal="center" vertical="center" wrapText="1"/>
    </xf>
    <xf numFmtId="0" fontId="37" fillId="5" borderId="68" xfId="0" applyFont="1" applyFill="1" applyBorder="1" applyAlignment="1">
      <alignment horizontal="center" vertical="center" wrapText="1"/>
    </xf>
    <xf numFmtId="0" fontId="37" fillId="5" borderId="69" xfId="0" applyFont="1" applyFill="1" applyBorder="1" applyAlignment="1">
      <alignment horizontal="center" vertical="center" wrapText="1"/>
    </xf>
    <xf numFmtId="0" fontId="37" fillId="5" borderId="43" xfId="0" applyFont="1" applyFill="1" applyBorder="1" applyAlignment="1">
      <alignment horizontal="center" vertical="center"/>
    </xf>
    <xf numFmtId="0" fontId="37" fillId="5" borderId="61" xfId="0" applyFont="1" applyFill="1" applyBorder="1" applyAlignment="1">
      <alignment horizontal="center" vertical="center" wrapText="1"/>
    </xf>
    <xf numFmtId="0" fontId="37" fillId="5" borderId="70" xfId="0" applyFont="1" applyFill="1" applyBorder="1" applyAlignment="1">
      <alignment horizontal="center" vertical="center" wrapText="1"/>
    </xf>
    <xf numFmtId="0" fontId="33" fillId="0" borderId="0" xfId="0" applyFont="1" applyAlignment="1">
      <alignment horizontal="center" vertical="center"/>
    </xf>
    <xf numFmtId="0" fontId="37" fillId="5" borderId="8" xfId="0" applyFont="1" applyFill="1" applyBorder="1" applyAlignment="1">
      <alignment horizontal="center" vertical="center"/>
    </xf>
    <xf numFmtId="0" fontId="37" fillId="5" borderId="18" xfId="0" applyFont="1" applyFill="1" applyBorder="1" applyAlignment="1">
      <alignment horizontal="center" vertical="center"/>
    </xf>
    <xf numFmtId="0" fontId="37" fillId="5" borderId="9" xfId="0" applyFont="1" applyFill="1" applyBorder="1" applyAlignment="1">
      <alignment horizontal="center" vertical="center"/>
    </xf>
    <xf numFmtId="0" fontId="37" fillId="5" borderId="66" xfId="0" applyFont="1" applyFill="1" applyBorder="1" applyAlignment="1">
      <alignment horizontal="center" vertical="center"/>
    </xf>
    <xf numFmtId="0" fontId="37" fillId="5" borderId="44" xfId="0" applyFont="1" applyFill="1" applyBorder="1" applyAlignment="1">
      <alignment horizontal="center" vertical="center"/>
    </xf>
    <xf numFmtId="0" fontId="37" fillId="5" borderId="45" xfId="0" applyFont="1" applyFill="1" applyBorder="1" applyAlignment="1">
      <alignment horizontal="center" vertical="center"/>
    </xf>
    <xf numFmtId="0" fontId="37" fillId="5" borderId="67" xfId="0" applyFont="1" applyFill="1" applyBorder="1" applyAlignment="1">
      <alignment horizontal="center" vertical="center"/>
    </xf>
    <xf numFmtId="0" fontId="31" fillId="0" borderId="0" xfId="0" applyFont="1" applyBorder="1" applyAlignment="1">
      <alignment horizontal="left" vertical="top" wrapText="1"/>
    </xf>
    <xf numFmtId="165" fontId="41" fillId="0" borderId="25" xfId="1" applyNumberFormat="1" applyFont="1" applyFill="1" applyBorder="1" applyAlignment="1">
      <alignment horizontal="justify" vertical="top" wrapText="1"/>
    </xf>
    <xf numFmtId="0" fontId="41" fillId="0" borderId="31" xfId="0" applyFont="1" applyBorder="1" applyAlignment="1">
      <alignment horizontal="justify" vertical="top" wrapText="1"/>
    </xf>
    <xf numFmtId="165" fontId="41" fillId="0" borderId="26" xfId="1" applyNumberFormat="1" applyFont="1" applyFill="1" applyBorder="1" applyAlignment="1">
      <alignment horizontal="justify" vertical="top" wrapText="1"/>
    </xf>
    <xf numFmtId="0" fontId="41" fillId="0" borderId="62" xfId="0" applyFont="1" applyBorder="1" applyAlignment="1">
      <alignment horizontal="justify" vertical="top" wrapText="1"/>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37" fillId="5" borderId="51" xfId="1" applyFont="1" applyFill="1" applyBorder="1" applyAlignment="1">
      <alignment horizontal="center" vertical="center"/>
    </xf>
    <xf numFmtId="0" fontId="37" fillId="5" borderId="0" xfId="1" applyFont="1" applyFill="1" applyBorder="1" applyAlignment="1">
      <alignment horizontal="center" vertical="center"/>
    </xf>
    <xf numFmtId="0" fontId="37" fillId="5" borderId="29" xfId="1" applyFont="1" applyFill="1" applyBorder="1" applyAlignment="1">
      <alignment horizontal="center" vertical="center"/>
    </xf>
    <xf numFmtId="0" fontId="17" fillId="0" borderId="8"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165" fontId="41" fillId="0" borderId="31" xfId="1" applyNumberFormat="1" applyFont="1" applyFill="1" applyBorder="1" applyAlignment="1">
      <alignment horizontal="justify" vertical="top" wrapText="1"/>
    </xf>
    <xf numFmtId="165" fontId="41" fillId="0" borderId="73" xfId="1" applyNumberFormat="1" applyFont="1" applyFill="1" applyBorder="1" applyAlignment="1">
      <alignment horizontal="justify" vertical="top" wrapText="1"/>
    </xf>
    <xf numFmtId="165" fontId="41" fillId="0" borderId="24" xfId="1" applyNumberFormat="1" applyFont="1" applyFill="1" applyBorder="1" applyAlignment="1">
      <alignment horizontal="justify" vertical="top" wrapText="1"/>
    </xf>
    <xf numFmtId="167" fontId="19" fillId="0" borderId="6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0" fontId="37" fillId="5" borderId="51" xfId="1" applyFont="1" applyFill="1" applyBorder="1" applyAlignment="1">
      <alignment horizontal="center" wrapText="1"/>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0" fontId="37" fillId="5" borderId="51" xfId="1" applyFont="1" applyFill="1" applyBorder="1" applyAlignment="1">
      <alignment horizontal="center" vertical="center" wrapText="1"/>
    </xf>
    <xf numFmtId="0" fontId="40" fillId="5" borderId="0" xfId="1" applyFont="1" applyFill="1" applyBorder="1" applyAlignment="1">
      <alignment horizontal="center" vertical="center" wrapText="1"/>
    </xf>
    <xf numFmtId="0" fontId="40" fillId="5" borderId="29" xfId="1" applyFont="1" applyFill="1" applyBorder="1" applyAlignment="1">
      <alignment horizontal="center" vertical="center" wrapText="1"/>
    </xf>
    <xf numFmtId="164" fontId="22" fillId="3" borderId="32" xfId="1" applyNumberFormat="1" applyFont="1" applyFill="1" applyBorder="1" applyAlignment="1">
      <alignment horizontal="center" vertical="center" textRotation="90" wrapText="1"/>
    </xf>
    <xf numFmtId="164" fontId="22" fillId="3" borderId="18" xfId="1" applyNumberFormat="1" applyFont="1" applyFill="1" applyBorder="1" applyAlignment="1">
      <alignment horizontal="center" vertical="center" textRotation="90" wrapText="1"/>
    </xf>
    <xf numFmtId="164" fontId="22" fillId="3" borderId="35" xfId="1" applyNumberFormat="1" applyFont="1" applyFill="1" applyBorder="1" applyAlignment="1">
      <alignment horizontal="center" vertical="center" textRotation="90" wrapText="1"/>
    </xf>
    <xf numFmtId="0" fontId="17" fillId="0" borderId="33" xfId="1" applyFont="1" applyFill="1" applyBorder="1" applyAlignment="1" applyProtection="1">
      <alignment horizontal="center" vertical="center" wrapText="1"/>
    </xf>
    <xf numFmtId="165" fontId="17" fillId="0" borderId="2" xfId="1" applyNumberFormat="1" applyFont="1" applyFill="1" applyBorder="1" applyAlignment="1">
      <alignment horizontal="center"/>
    </xf>
    <xf numFmtId="165" fontId="17" fillId="0" borderId="19" xfId="1" applyNumberFormat="1" applyFont="1" applyFill="1" applyBorder="1" applyAlignment="1">
      <alignment horizontal="center"/>
    </xf>
    <xf numFmtId="0" fontId="17" fillId="0" borderId="34" xfId="1" applyFont="1" applyFill="1" applyBorder="1" applyAlignment="1" applyProtection="1">
      <alignment horizontal="center" vertical="center" wrapText="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52"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17"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21" fillId="0" borderId="21" xfId="1" applyNumberFormat="1" applyFont="1" applyFill="1" applyBorder="1" applyAlignment="1">
      <alignment horizontal="center"/>
    </xf>
    <xf numFmtId="165" fontId="21" fillId="0" borderId="22" xfId="1" applyNumberFormat="1" applyFont="1" applyFill="1" applyBorder="1" applyAlignment="1">
      <alignment horizontal="center"/>
    </xf>
    <xf numFmtId="165" fontId="17" fillId="0" borderId="36" xfId="1" applyNumberFormat="1" applyFont="1" applyFill="1" applyBorder="1" applyAlignment="1">
      <alignment horizontal="center"/>
    </xf>
    <xf numFmtId="165" fontId="17" fillId="0" borderId="20" xfId="1" applyNumberFormat="1" applyFont="1" applyFill="1" applyBorder="1" applyAlignment="1">
      <alignment horizontal="center"/>
    </xf>
    <xf numFmtId="165" fontId="21" fillId="0" borderId="23" xfId="1" applyNumberFormat="1" applyFont="1" applyFill="1" applyBorder="1" applyAlignment="1">
      <alignment horizontal="center"/>
    </xf>
    <xf numFmtId="165" fontId="21" fillId="0" borderId="20" xfId="1" applyNumberFormat="1" applyFont="1" applyFill="1" applyBorder="1" applyAlignment="1">
      <alignment horizontal="center"/>
    </xf>
    <xf numFmtId="165" fontId="21" fillId="0" borderId="50" xfId="1" applyNumberFormat="1" applyFont="1" applyFill="1" applyBorder="1" applyAlignment="1">
      <alignment horizontal="center"/>
    </xf>
    <xf numFmtId="165" fontId="21" fillId="0" borderId="17" xfId="1" applyNumberFormat="1" applyFont="1" applyFill="1" applyBorder="1" applyAlignment="1">
      <alignment horizontal="center"/>
    </xf>
    <xf numFmtId="165" fontId="21" fillId="0" borderId="2" xfId="1" applyNumberFormat="1" applyFont="1" applyFill="1" applyBorder="1" applyAlignment="1">
      <alignment horizontal="center"/>
    </xf>
    <xf numFmtId="165" fontId="21" fillId="0" borderId="47" xfId="1" applyNumberFormat="1" applyFont="1" applyFill="1" applyBorder="1" applyAlignment="1">
      <alignment horizont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0" fontId="17" fillId="0" borderId="32"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165" fontId="17" fillId="0" borderId="47" xfId="1" applyNumberFormat="1" applyFont="1" applyFill="1" applyBorder="1" applyAlignment="1">
      <alignment horizontal="center"/>
    </xf>
    <xf numFmtId="165" fontId="17" fillId="0" borderId="50" xfId="1" applyNumberFormat="1" applyFont="1" applyFill="1" applyBorder="1" applyAlignment="1">
      <alignment horizontal="center"/>
    </xf>
    <xf numFmtId="0" fontId="19" fillId="0" borderId="46" xfId="1" applyNumberFormat="1" applyFont="1" applyFill="1" applyBorder="1" applyAlignment="1">
      <alignment horizontal="center" vertical="center" textRotation="90" readingOrder="1"/>
    </xf>
    <xf numFmtId="165" fontId="17" fillId="0" borderId="31" xfId="1" applyNumberFormat="1" applyFont="1" applyFill="1" applyBorder="1" applyAlignment="1">
      <alignment horizontal="center"/>
    </xf>
    <xf numFmtId="0" fontId="46" fillId="0" borderId="0" xfId="0" applyFont="1" applyAlignment="1">
      <alignment horizontal="right" vertical="center"/>
    </xf>
    <xf numFmtId="0" fontId="48" fillId="0" borderId="74" xfId="0" applyFont="1" applyBorder="1" applyAlignment="1">
      <alignment horizontal="center" vertical="center"/>
    </xf>
    <xf numFmtId="0" fontId="9" fillId="0" borderId="0" xfId="7" applyFont="1" applyAlignment="1">
      <alignment horizontal="center" vertical="center"/>
    </xf>
    <xf numFmtId="0" fontId="42" fillId="0" borderId="0" xfId="7" applyFont="1" applyAlignment="1">
      <alignment horizontal="justify" vertical="top" wrapText="1"/>
    </xf>
    <xf numFmtId="0" fontId="43" fillId="0" borderId="0" xfId="7" applyFont="1" applyAlignment="1">
      <alignment horizontal="center" vertical="top" wrapText="1"/>
    </xf>
    <xf numFmtId="4" fontId="42" fillId="0" borderId="0" xfId="7" applyNumberFormat="1" applyFont="1" applyAlignment="1">
      <alignment horizontal="justify" vertical="top" wrapText="1"/>
    </xf>
    <xf numFmtId="0" fontId="42" fillId="0" borderId="0" xfId="7" applyFont="1" applyBorder="1" applyAlignment="1">
      <alignment horizontal="center" vertical="center"/>
    </xf>
  </cellXfs>
  <cellStyles count="10">
    <cellStyle name="Millares" xfId="4" builtinId="3"/>
    <cellStyle name="Millares 2" xfId="8"/>
    <cellStyle name="Millares 3" xfId="9"/>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11">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FF3399"/>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60</xdr:row>
      <xdr:rowOff>134471</xdr:rowOff>
    </xdr:from>
    <xdr:to>
      <xdr:col>10</xdr:col>
      <xdr:colOff>705970</xdr:colOff>
      <xdr:row>67</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60</xdr:row>
      <xdr:rowOff>89647</xdr:rowOff>
    </xdr:from>
    <xdr:to>
      <xdr:col>21</xdr:col>
      <xdr:colOff>593912</xdr:colOff>
      <xdr:row>67</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xdr:from>
      <xdr:col>11</xdr:col>
      <xdr:colOff>918882</xdr:colOff>
      <xdr:row>60</xdr:row>
      <xdr:rowOff>145676</xdr:rowOff>
    </xdr:from>
    <xdr:to>
      <xdr:col>15</xdr:col>
      <xdr:colOff>616324</xdr:colOff>
      <xdr:row>67</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ELISA LUGO IPIÑA</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twoCellAnchor editAs="oneCell">
    <xdr:from>
      <xdr:col>16</xdr:col>
      <xdr:colOff>0</xdr:colOff>
      <xdr:row>2</xdr:row>
      <xdr:rowOff>100854</xdr:rowOff>
    </xdr:from>
    <xdr:to>
      <xdr:col>21</xdr:col>
      <xdr:colOff>300159</xdr:colOff>
      <xdr:row>5</xdr:row>
      <xdr:rowOff>190501</xdr:rowOff>
    </xdr:to>
    <xdr:pic>
      <xdr:nvPicPr>
        <xdr:cNvPr id="8" name="Picture 1"/>
        <xdr:cNvPicPr>
          <a:picLocks noChangeAspect="1" noChangeArrowheads="1"/>
        </xdr:cNvPicPr>
      </xdr:nvPicPr>
      <xdr:blipFill>
        <a:blip xmlns:r="http://schemas.openxmlformats.org/officeDocument/2006/relationships" r:embed="rId1"/>
        <a:srcRect/>
        <a:stretch>
          <a:fillRect/>
        </a:stretch>
      </xdr:blipFill>
      <xdr:spPr bwMode="auto">
        <a:xfrm>
          <a:off x="11586882" y="437030"/>
          <a:ext cx="5320395" cy="840442"/>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15</xdr:row>
      <xdr:rowOff>228599</xdr:rowOff>
    </xdr:from>
    <xdr:to>
      <xdr:col>4</xdr:col>
      <xdr:colOff>895350</xdr:colOff>
      <xdr:row>20</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9</xdr:col>
      <xdr:colOff>942975</xdr:colOff>
      <xdr:row>15</xdr:row>
      <xdr:rowOff>266699</xdr:rowOff>
    </xdr:from>
    <xdr:to>
      <xdr:col>13</xdr:col>
      <xdr:colOff>0</xdr:colOff>
      <xdr:row>20</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a:t>
          </a:r>
          <a:r>
            <a:rPr lang="es-MX" sz="1050" b="1" baseline="0">
              <a:solidFill>
                <a:schemeClr val="tx1"/>
              </a:solidFill>
              <a:latin typeface="Arial" pitchFamily="34" charset="0"/>
              <a:ea typeface="Verdana" pitchFamily="34" charset="0"/>
              <a:cs typeface="Arial" pitchFamily="34" charset="0"/>
            </a:rPr>
            <a:t> YSAURA MORENO ALAMINA</a:t>
          </a:r>
          <a:endParaRPr lang="es-MX" sz="1050" b="1">
            <a:solidFill>
              <a:schemeClr val="tx1"/>
            </a:solidFill>
            <a:latin typeface="Arial" pitchFamily="34" charset="0"/>
            <a:ea typeface="Verdana" pitchFamily="34" charset="0"/>
            <a:cs typeface="Arial" pitchFamily="34" charset="0"/>
          </a:endParaRPr>
        </a:p>
        <a:p>
          <a:pPr marL="0" indent="0" algn="ctr"/>
          <a:r>
            <a:rPr lang="es-MX" sz="105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xdr:from>
      <xdr:col>5</xdr:col>
      <xdr:colOff>266700</xdr:colOff>
      <xdr:row>15</xdr:row>
      <xdr:rowOff>276225</xdr:rowOff>
    </xdr:from>
    <xdr:to>
      <xdr:col>9</xdr:col>
      <xdr:colOff>180975</xdr:colOff>
      <xdr:row>20</xdr:row>
      <xdr:rowOff>304800</xdr:rowOff>
    </xdr:to>
    <xdr:sp macro="" textlink="">
      <xdr:nvSpPr>
        <xdr:cNvPr id="10" name="9 CuadroTexto"/>
        <xdr:cNvSpPr txBox="1"/>
      </xdr:nvSpPr>
      <xdr:spPr>
        <a:xfrm>
          <a:off x="7353300" y="4191000"/>
          <a:ext cx="4133850" cy="1704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mn-lt"/>
              <a:ea typeface="+mn-ea"/>
              <a:cs typeface="+mn-cs"/>
            </a:rPr>
            <a:t>LIC. ELISA LUGO IPIÑA</a:t>
          </a:r>
          <a:endParaRPr lang="es-MX" sz="1050">
            <a:effectLst/>
          </a:endParaRPr>
        </a:p>
        <a:p>
          <a:r>
            <a:rPr lang="es-MX" sz="1050" b="1" baseline="0">
              <a:solidFill>
                <a:schemeClr val="dk1"/>
              </a:solidFill>
              <a:effectLst/>
              <a:latin typeface="+mn-lt"/>
              <a:ea typeface="+mn-ea"/>
              <a:cs typeface="+mn-cs"/>
            </a:rPr>
            <a:t>              GERENTE  DE ADMINISTRACIÓN Y FINANZAS</a:t>
          </a:r>
          <a:endParaRPr lang="es-MX" sz="1050">
            <a:effectLst/>
          </a:endParaRPr>
        </a:p>
        <a:p>
          <a:endParaRPr lang="es-MX" sz="900">
            <a:latin typeface="Arial" pitchFamily="34" charset="0"/>
            <a:cs typeface="Arial" pitchFamily="34" charset="0"/>
          </a:endParaRPr>
        </a:p>
      </xdr:txBody>
    </xdr:sp>
    <xdr:clientData/>
  </xdr:twoCellAnchor>
  <xdr:twoCellAnchor editAs="oneCell">
    <xdr:from>
      <xdr:col>8</xdr:col>
      <xdr:colOff>0</xdr:colOff>
      <xdr:row>1</xdr:row>
      <xdr:rowOff>9525</xdr:rowOff>
    </xdr:from>
    <xdr:to>
      <xdr:col>13</xdr:col>
      <xdr:colOff>157845</xdr:colOff>
      <xdr:row>3</xdr:row>
      <xdr:rowOff>180975</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0544175" y="171450"/>
          <a:ext cx="5320395" cy="61912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52</xdr:row>
      <xdr:rowOff>101600</xdr:rowOff>
    </xdr:from>
    <xdr:to>
      <xdr:col>7</xdr:col>
      <xdr:colOff>889000</xdr:colOff>
      <xdr:row>62</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1050" b="1">
              <a:solidFill>
                <a:schemeClr val="tx1"/>
              </a:solidFill>
              <a:latin typeface="Arial" pitchFamily="34" charset="0"/>
              <a:ea typeface="Verdana" pitchFamily="34" charset="0"/>
              <a:cs typeface="Arial" pitchFamily="34" charset="0"/>
            </a:rPr>
            <a:t>C.P.</a:t>
          </a:r>
          <a:r>
            <a:rPr lang="es-MX" sz="1050" b="1" baseline="0">
              <a:solidFill>
                <a:schemeClr val="tx1"/>
              </a:solidFill>
              <a:latin typeface="Arial" pitchFamily="34" charset="0"/>
              <a:ea typeface="Verdana" pitchFamily="34" charset="0"/>
              <a:cs typeface="Arial" pitchFamily="34" charset="0"/>
            </a:rPr>
            <a:t> CECILIA MENDOZA FRIAS</a:t>
          </a:r>
          <a:endParaRPr lang="es-MX" sz="1050" b="1">
            <a:solidFill>
              <a:schemeClr val="tx1"/>
            </a:solidFill>
            <a:latin typeface="Arial" pitchFamily="34" charset="0"/>
            <a:ea typeface="Verdana" pitchFamily="34" charset="0"/>
            <a:cs typeface="Arial" pitchFamily="34" charset="0"/>
          </a:endParaRP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7</xdr:col>
      <xdr:colOff>6362700</xdr:colOff>
      <xdr:row>52</xdr:row>
      <xdr:rowOff>88900</xdr:rowOff>
    </xdr:from>
    <xdr:to>
      <xdr:col>8</xdr:col>
      <xdr:colOff>3048000</xdr:colOff>
      <xdr:row>61</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xdr:from>
      <xdr:col>7</xdr:col>
      <xdr:colOff>1714500</xdr:colOff>
      <xdr:row>52</xdr:row>
      <xdr:rowOff>88900</xdr:rowOff>
    </xdr:from>
    <xdr:to>
      <xdr:col>7</xdr:col>
      <xdr:colOff>5575300</xdr:colOff>
      <xdr:row>61</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LIC. ELISA LUGO IPIÑA</a:t>
          </a:r>
        </a:p>
        <a:p>
          <a:pPr marL="0" marR="0" lvl="0" indent="0"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             GERENTE  DE ADMINISTRACIÓN Y FINANZAS</a:t>
          </a:r>
        </a:p>
        <a:p>
          <a:endParaRPr lang="es-MX" sz="1100"/>
        </a:p>
      </xdr:txBody>
    </xdr:sp>
    <xdr:clientData/>
  </xdr:twoCellAnchor>
  <xdr:twoCellAnchor editAs="oneCell">
    <xdr:from>
      <xdr:col>7</xdr:col>
      <xdr:colOff>6197601</xdr:colOff>
      <xdr:row>2</xdr:row>
      <xdr:rowOff>0</xdr:rowOff>
    </xdr:from>
    <xdr:to>
      <xdr:col>8</xdr:col>
      <xdr:colOff>3911601</xdr:colOff>
      <xdr:row>4</xdr:row>
      <xdr:rowOff>156273</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2369801" y="279400"/>
          <a:ext cx="5245100" cy="816673"/>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272143</xdr:colOff>
      <xdr:row>2</xdr:row>
      <xdr:rowOff>0</xdr:rowOff>
    </xdr:from>
    <xdr:to>
      <xdr:col>17</xdr:col>
      <xdr:colOff>1047750</xdr:colOff>
      <xdr:row>3</xdr:row>
      <xdr:rowOff>354030</xdr:rowOff>
    </xdr:to>
    <xdr:pic>
      <xdr:nvPicPr>
        <xdr:cNvPr id="3" name="Picture 1"/>
        <xdr:cNvPicPr>
          <a:picLocks noChangeAspect="1" noChangeArrowheads="1"/>
        </xdr:cNvPicPr>
      </xdr:nvPicPr>
      <xdr:blipFill>
        <a:blip xmlns:r="http://schemas.openxmlformats.org/officeDocument/2006/relationships" r:embed="rId1"/>
        <a:srcRect/>
        <a:stretch>
          <a:fillRect/>
        </a:stretch>
      </xdr:blipFill>
      <xdr:spPr bwMode="auto">
        <a:xfrm>
          <a:off x="13212536" y="326571"/>
          <a:ext cx="5619750" cy="816673"/>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Z68"/>
  <sheetViews>
    <sheetView showGridLines="0" tabSelected="1" view="pageBreakPreview" topLeftCell="E1" zoomScale="85" zoomScaleSheetLayoutView="85" workbookViewId="0">
      <selection activeCell="Q33" sqref="Q33"/>
    </sheetView>
  </sheetViews>
  <sheetFormatPr baseColWidth="10" defaultRowHeight="12.75"/>
  <cols>
    <col min="1" max="1" width="11.85546875" style="88" hidden="1" customWidth="1"/>
    <col min="2" max="2" width="4" style="88" hidden="1" customWidth="1"/>
    <col min="3" max="4" width="2.85546875" style="1" hidden="1" customWidth="1"/>
    <col min="5" max="7" width="2.85546875" style="1" customWidth="1"/>
    <col min="8" max="8" width="48.140625" style="1" customWidth="1"/>
    <col min="9" max="9" width="1.140625" style="84" customWidth="1"/>
    <col min="10" max="10" width="19.85546875" style="1" customWidth="1"/>
    <col min="11" max="11" width="18.7109375" style="1" customWidth="1"/>
    <col min="12" max="12" width="20.42578125" style="1" customWidth="1"/>
    <col min="13" max="13" width="1.140625" style="84" customWidth="1"/>
    <col min="14" max="14" width="18.28515625" style="1" customWidth="1"/>
    <col min="15" max="15" width="19.140625" style="1" customWidth="1"/>
    <col min="16" max="17" width="18.28515625" style="1" customWidth="1"/>
    <col min="18" max="18" width="1.140625" style="84"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87"/>
      <c r="H2" s="17"/>
      <c r="J2" s="17"/>
      <c r="K2" s="17"/>
      <c r="L2" s="18"/>
      <c r="N2" s="18"/>
      <c r="O2" s="18"/>
      <c r="P2" s="18"/>
      <c r="Q2" s="18"/>
      <c r="S2" s="18"/>
      <c r="T2" s="18"/>
      <c r="U2" s="18"/>
      <c r="V2" s="18"/>
    </row>
    <row r="3" spans="1:23" ht="19.5">
      <c r="A3" s="87"/>
      <c r="H3" s="3" t="s">
        <v>131</v>
      </c>
      <c r="J3" s="20"/>
      <c r="K3" s="18"/>
      <c r="L3" s="21"/>
      <c r="N3" s="21"/>
      <c r="O3" s="18"/>
      <c r="P3" s="18"/>
      <c r="Q3" s="18"/>
      <c r="S3" s="18"/>
      <c r="T3" s="255"/>
      <c r="U3" s="255"/>
      <c r="V3" s="255"/>
    </row>
    <row r="4" spans="1:23" ht="15">
      <c r="A4" s="87"/>
      <c r="H4" s="3" t="s">
        <v>112</v>
      </c>
      <c r="J4" s="20"/>
      <c r="K4" s="18"/>
      <c r="L4" s="18"/>
      <c r="N4" s="18"/>
      <c r="O4" s="18"/>
      <c r="P4" s="18"/>
      <c r="Q4" s="18"/>
      <c r="S4" s="18"/>
      <c r="T4" s="18"/>
      <c r="U4" s="18"/>
      <c r="V4" s="18"/>
    </row>
    <row r="5" spans="1:23" ht="24.75" customHeight="1">
      <c r="A5" s="87"/>
      <c r="H5" s="3" t="s">
        <v>73</v>
      </c>
      <c r="J5" s="22"/>
      <c r="K5" s="19"/>
      <c r="L5" s="18"/>
      <c r="N5" s="18"/>
      <c r="O5" s="18"/>
      <c r="P5" s="18"/>
      <c r="Q5" s="18"/>
      <c r="S5" s="18"/>
      <c r="T5" s="18"/>
      <c r="U5" s="18"/>
      <c r="V5" s="18"/>
    </row>
    <row r="6" spans="1:23" ht="24.75" customHeight="1">
      <c r="A6" s="87"/>
      <c r="H6" s="3" t="s">
        <v>74</v>
      </c>
      <c r="J6" s="22"/>
      <c r="K6" s="19"/>
      <c r="L6" s="18"/>
      <c r="N6" s="18"/>
      <c r="O6" s="18"/>
      <c r="P6" s="18"/>
      <c r="Q6" s="18"/>
      <c r="S6" s="18"/>
      <c r="T6" s="18"/>
      <c r="U6" s="18"/>
      <c r="V6" s="18"/>
    </row>
    <row r="7" spans="1:23" ht="24.75" customHeight="1">
      <c r="A7" s="87"/>
      <c r="H7" s="3"/>
      <c r="I7" s="185"/>
      <c r="J7" s="103"/>
      <c r="K7" s="104"/>
      <c r="L7" s="105"/>
      <c r="M7" s="185"/>
      <c r="N7" s="105"/>
      <c r="O7" s="105"/>
      <c r="P7" s="105"/>
      <c r="Q7" s="105"/>
      <c r="R7" s="185"/>
      <c r="S7" s="105"/>
      <c r="T7" s="105"/>
      <c r="U7" s="161" t="s">
        <v>56</v>
      </c>
      <c r="V7" s="105"/>
    </row>
    <row r="8" spans="1:23" s="23" customFormat="1" ht="12.75" customHeight="1">
      <c r="A8" s="87" t="s">
        <v>0</v>
      </c>
      <c r="B8" s="89"/>
      <c r="H8" s="111" t="s">
        <v>104</v>
      </c>
      <c r="I8" s="48"/>
      <c r="J8" s="278" t="s">
        <v>78</v>
      </c>
      <c r="K8" s="278"/>
      <c r="L8" s="278"/>
      <c r="M8" s="48"/>
      <c r="N8" s="278" t="s">
        <v>76</v>
      </c>
      <c r="O8" s="278"/>
      <c r="P8" s="278"/>
      <c r="Q8" s="278"/>
      <c r="R8" s="48"/>
      <c r="S8" s="278" t="s">
        <v>79</v>
      </c>
      <c r="T8" s="278"/>
      <c r="U8" s="278"/>
      <c r="V8" s="278"/>
    </row>
    <row r="9" spans="1:23" s="25" customFormat="1" ht="27.75" customHeight="1">
      <c r="A9" s="87" t="s">
        <v>1</v>
      </c>
      <c r="B9" s="88"/>
      <c r="C9" s="1"/>
      <c r="D9" s="1"/>
      <c r="E9" s="1"/>
      <c r="F9" s="1"/>
      <c r="H9" s="24" t="s">
        <v>154</v>
      </c>
      <c r="I9" s="48"/>
      <c r="J9" s="279"/>
      <c r="K9" s="279"/>
      <c r="L9" s="279"/>
      <c r="M9" s="48"/>
      <c r="N9" s="279"/>
      <c r="O9" s="279"/>
      <c r="P9" s="279"/>
      <c r="Q9" s="279"/>
      <c r="R9" s="48"/>
      <c r="S9" s="279"/>
      <c r="T9" s="279"/>
      <c r="U9" s="279"/>
      <c r="V9" s="279"/>
      <c r="W9" s="28"/>
    </row>
    <row r="10" spans="1:23" s="30" customFormat="1" ht="15" customHeight="1">
      <c r="A10" s="87" t="s">
        <v>2</v>
      </c>
      <c r="B10" s="87"/>
      <c r="C10" s="29"/>
      <c r="D10" s="29"/>
      <c r="E10" s="29"/>
      <c r="F10" s="29"/>
      <c r="H10" s="275" t="s">
        <v>80</v>
      </c>
      <c r="I10" s="239"/>
      <c r="J10" s="240">
        <v>2015</v>
      </c>
      <c r="K10" s="266">
        <v>2016</v>
      </c>
      <c r="L10" s="274"/>
      <c r="M10" s="239"/>
      <c r="N10" s="241">
        <v>2015</v>
      </c>
      <c r="O10" s="266">
        <v>2016</v>
      </c>
      <c r="P10" s="267"/>
      <c r="Q10" s="267"/>
      <c r="R10" s="239"/>
      <c r="S10" s="241">
        <v>2015</v>
      </c>
      <c r="T10" s="266">
        <v>2016</v>
      </c>
      <c r="U10" s="267"/>
      <c r="V10" s="267"/>
    </row>
    <row r="11" spans="1:23" s="25" customFormat="1" ht="15" customHeight="1">
      <c r="A11" s="87" t="s">
        <v>3</v>
      </c>
      <c r="B11" s="88"/>
      <c r="C11" s="1"/>
      <c r="D11" s="1"/>
      <c r="E11" s="1"/>
      <c r="F11" s="1"/>
      <c r="H11" s="276"/>
      <c r="I11" s="239"/>
      <c r="J11" s="256" t="s">
        <v>81</v>
      </c>
      <c r="K11" s="258" t="s">
        <v>82</v>
      </c>
      <c r="L11" s="260" t="s">
        <v>83</v>
      </c>
      <c r="M11" s="242"/>
      <c r="N11" s="264" t="s">
        <v>81</v>
      </c>
      <c r="O11" s="262" t="s">
        <v>84</v>
      </c>
      <c r="P11" s="263"/>
      <c r="Q11" s="243" t="s">
        <v>81</v>
      </c>
      <c r="R11" s="244"/>
      <c r="S11" s="264" t="s">
        <v>81</v>
      </c>
      <c r="T11" s="262" t="s">
        <v>84</v>
      </c>
      <c r="U11" s="263"/>
      <c r="V11" s="260" t="s">
        <v>81</v>
      </c>
    </row>
    <row r="12" spans="1:23" s="25" customFormat="1" ht="24.75" customHeight="1">
      <c r="A12" s="87" t="s">
        <v>4</v>
      </c>
      <c r="B12" s="88"/>
      <c r="C12" s="1"/>
      <c r="D12" s="1"/>
      <c r="E12" s="1"/>
      <c r="F12" s="1"/>
      <c r="H12" s="277"/>
      <c r="I12" s="239"/>
      <c r="J12" s="257"/>
      <c r="K12" s="259"/>
      <c r="L12" s="261"/>
      <c r="M12" s="244"/>
      <c r="N12" s="265"/>
      <c r="O12" s="245" t="s">
        <v>85</v>
      </c>
      <c r="P12" s="246" t="s">
        <v>86</v>
      </c>
      <c r="Q12" s="247" t="s">
        <v>87</v>
      </c>
      <c r="R12" s="244"/>
      <c r="S12" s="265"/>
      <c r="T12" s="245" t="s">
        <v>85</v>
      </c>
      <c r="U12" s="248" t="s">
        <v>86</v>
      </c>
      <c r="V12" s="261"/>
    </row>
    <row r="13" spans="1:23" s="25" customFormat="1" ht="7.5" customHeight="1">
      <c r="A13" s="87" t="s">
        <v>5</v>
      </c>
      <c r="B13" s="88"/>
      <c r="C13" s="1"/>
      <c r="D13" s="1"/>
      <c r="E13" s="1"/>
      <c r="F13" s="1"/>
      <c r="H13" s="31"/>
      <c r="I13" s="48"/>
      <c r="J13" s="26"/>
      <c r="K13" s="27"/>
      <c r="L13" s="27"/>
      <c r="M13" s="48"/>
      <c r="N13" s="27"/>
      <c r="O13" s="27"/>
      <c r="P13" s="27"/>
      <c r="Q13" s="27"/>
      <c r="R13" s="48"/>
      <c r="S13" s="27"/>
      <c r="T13" s="27"/>
      <c r="U13" s="27"/>
      <c r="V13" s="27"/>
      <c r="W13" s="28"/>
    </row>
    <row r="14" spans="1:23" s="16" customFormat="1" ht="14.25">
      <c r="A14" s="87" t="s">
        <v>6</v>
      </c>
      <c r="B14" s="90"/>
      <c r="H14" s="32"/>
      <c r="I14" s="186"/>
      <c r="J14" s="33"/>
      <c r="K14" s="34"/>
      <c r="L14" s="34"/>
      <c r="M14" s="186"/>
      <c r="N14" s="34"/>
      <c r="O14" s="34"/>
      <c r="P14" s="34"/>
      <c r="Q14" s="34"/>
      <c r="R14" s="186"/>
      <c r="S14" s="34"/>
      <c r="T14" s="34"/>
      <c r="U14" s="34"/>
      <c r="V14" s="34"/>
      <c r="W14" s="86"/>
    </row>
    <row r="15" spans="1:23" s="35" customFormat="1" ht="21.75" customHeight="1">
      <c r="A15" s="87" t="s">
        <v>7</v>
      </c>
      <c r="B15" s="90"/>
      <c r="C15" s="16"/>
      <c r="D15" s="16"/>
      <c r="E15" s="16"/>
      <c r="F15" s="16"/>
      <c r="H15" s="36" t="s">
        <v>88</v>
      </c>
      <c r="I15" s="95"/>
      <c r="J15" s="37">
        <f>+J17+J53</f>
        <v>83508487.230000004</v>
      </c>
      <c r="K15" s="37">
        <f t="shared" ref="K15:L15" si="0">+K17+K53</f>
        <v>83494457</v>
      </c>
      <c r="L15" s="37">
        <f t="shared" si="0"/>
        <v>84647457</v>
      </c>
      <c r="M15" s="95">
        <v>0</v>
      </c>
      <c r="N15" s="37">
        <f>+N17+N53</f>
        <v>6266066.71</v>
      </c>
      <c r="O15" s="37">
        <f>+O17+O53</f>
        <v>7045131</v>
      </c>
      <c r="P15" s="37">
        <f>+P17+P53</f>
        <v>7045131</v>
      </c>
      <c r="Q15" s="37">
        <f>+Q17+Q53</f>
        <v>6926006.96</v>
      </c>
      <c r="R15" s="95"/>
      <c r="S15" s="37">
        <f>+S17+S53</f>
        <v>38744869.689999998</v>
      </c>
      <c r="T15" s="37">
        <f>+T17+T53</f>
        <v>39072041</v>
      </c>
      <c r="U15" s="37">
        <f>+U17+U53</f>
        <v>40225041</v>
      </c>
      <c r="V15" s="37">
        <f>+V17+V53</f>
        <v>39744292.5</v>
      </c>
      <c r="W15" s="251">
        <f>+V15-U15</f>
        <v>-480748.5</v>
      </c>
    </row>
    <row r="16" spans="1:23" s="16" customFormat="1" ht="9" customHeight="1">
      <c r="A16" s="87" t="s">
        <v>8</v>
      </c>
      <c r="B16" s="90"/>
      <c r="H16" s="38"/>
      <c r="I16" s="95"/>
      <c r="J16" s="39"/>
      <c r="K16" s="93"/>
      <c r="L16" s="93"/>
      <c r="M16" s="95"/>
      <c r="N16" s="39"/>
      <c r="O16" s="93"/>
      <c r="P16" s="93"/>
      <c r="Q16" s="93"/>
      <c r="R16" s="95"/>
      <c r="S16" s="39"/>
      <c r="T16" s="93"/>
      <c r="U16" s="93"/>
      <c r="V16" s="93"/>
    </row>
    <row r="17" spans="1:25" s="41" customFormat="1" ht="21.75" customHeight="1">
      <c r="A17" s="87" t="s">
        <v>9</v>
      </c>
      <c r="B17" s="91"/>
      <c r="C17" s="40"/>
      <c r="D17" s="40"/>
      <c r="E17" s="40"/>
      <c r="F17" s="40"/>
      <c r="H17" s="42" t="s">
        <v>89</v>
      </c>
      <c r="I17" s="95"/>
      <c r="J17" s="37">
        <f>+J19+J43+J50</f>
        <v>83508487.230000004</v>
      </c>
      <c r="K17" s="37">
        <f t="shared" ref="K17:L17" si="1">+K19+K43+K50</f>
        <v>83494457</v>
      </c>
      <c r="L17" s="37">
        <f t="shared" si="1"/>
        <v>84647457</v>
      </c>
      <c r="M17" s="49">
        <f t="shared" ref="M17:V17" si="2">+M19+M43+M50</f>
        <v>0</v>
      </c>
      <c r="N17" s="37">
        <f t="shared" si="2"/>
        <v>6266066.71</v>
      </c>
      <c r="O17" s="37">
        <f t="shared" si="2"/>
        <v>7045131</v>
      </c>
      <c r="P17" s="37">
        <f t="shared" si="2"/>
        <v>7045131</v>
      </c>
      <c r="Q17" s="37">
        <f t="shared" si="2"/>
        <v>6926006.96</v>
      </c>
      <c r="R17" s="49">
        <f t="shared" si="2"/>
        <v>0</v>
      </c>
      <c r="S17" s="37">
        <f t="shared" si="2"/>
        <v>38744869.689999998</v>
      </c>
      <c r="T17" s="37">
        <f t="shared" si="2"/>
        <v>39072041</v>
      </c>
      <c r="U17" s="37">
        <f t="shared" si="2"/>
        <v>40225041</v>
      </c>
      <c r="V17" s="37">
        <f t="shared" si="2"/>
        <v>39744292.5</v>
      </c>
    </row>
    <row r="18" spans="1:25" s="16" customFormat="1" ht="9" customHeight="1">
      <c r="A18" s="87" t="s">
        <v>10</v>
      </c>
      <c r="B18" s="90"/>
      <c r="H18" s="38"/>
      <c r="I18" s="95"/>
      <c r="J18" s="39"/>
      <c r="K18" s="93"/>
      <c r="L18" s="93"/>
      <c r="M18" s="95"/>
      <c r="N18" s="39"/>
      <c r="O18" s="93"/>
      <c r="P18" s="93"/>
      <c r="Q18" s="93"/>
      <c r="R18" s="95"/>
      <c r="S18" s="39"/>
      <c r="T18" s="93"/>
      <c r="U18" s="93"/>
      <c r="V18" s="93"/>
    </row>
    <row r="19" spans="1:25" s="41" customFormat="1" ht="21.75" customHeight="1">
      <c r="A19" s="87" t="s">
        <v>11</v>
      </c>
      <c r="B19" s="91"/>
      <c r="C19" s="40"/>
      <c r="D19" s="40"/>
      <c r="E19" s="40"/>
      <c r="F19" s="40"/>
      <c r="H19" s="43" t="s">
        <v>90</v>
      </c>
      <c r="I19" s="95"/>
      <c r="J19" s="37">
        <f>SUM(J20,J22,J28,J31,J35)</f>
        <v>55856204.230000004</v>
      </c>
      <c r="K19" s="37">
        <f t="shared" ref="K19:L19" si="3">SUM(K20,K22,K28,K31,K35)</f>
        <v>55418000</v>
      </c>
      <c r="L19" s="37">
        <f t="shared" si="3"/>
        <v>56571000</v>
      </c>
      <c r="M19" s="49"/>
      <c r="N19" s="37">
        <f t="shared" ref="N19:V19" si="4">SUM(N20,N22,N28,N31,N35)</f>
        <v>4055533.71</v>
      </c>
      <c r="O19" s="37">
        <f t="shared" si="4"/>
        <v>4765453</v>
      </c>
      <c r="P19" s="37">
        <f t="shared" si="4"/>
        <v>4765453</v>
      </c>
      <c r="Q19" s="37">
        <f t="shared" si="4"/>
        <v>4646328.96</v>
      </c>
      <c r="R19" s="49">
        <f t="shared" si="4"/>
        <v>0</v>
      </c>
      <c r="S19" s="37">
        <f t="shared" si="4"/>
        <v>27742204.690000001</v>
      </c>
      <c r="T19" s="37">
        <f t="shared" si="4"/>
        <v>27673651</v>
      </c>
      <c r="U19" s="37">
        <f t="shared" si="4"/>
        <v>28826651</v>
      </c>
      <c r="V19" s="37">
        <f t="shared" si="4"/>
        <v>28345902.5</v>
      </c>
    </row>
    <row r="20" spans="1:25" s="44" customFormat="1" ht="14.25">
      <c r="A20" s="87"/>
      <c r="B20" s="88"/>
      <c r="C20" s="1"/>
      <c r="D20" s="1"/>
      <c r="E20" s="1"/>
      <c r="F20" s="1"/>
      <c r="H20" s="45" t="s">
        <v>14</v>
      </c>
      <c r="I20" s="95"/>
      <c r="J20" s="94">
        <v>0</v>
      </c>
      <c r="K20" s="94">
        <v>0</v>
      </c>
      <c r="L20" s="94">
        <v>0</v>
      </c>
      <c r="M20" s="95"/>
      <c r="N20" s="94">
        <v>0</v>
      </c>
      <c r="O20" s="94">
        <v>0</v>
      </c>
      <c r="P20" s="94">
        <v>0</v>
      </c>
      <c r="Q20" s="94">
        <v>0</v>
      </c>
      <c r="R20" s="95"/>
      <c r="S20" s="94">
        <v>0</v>
      </c>
      <c r="T20" s="94">
        <v>0</v>
      </c>
      <c r="U20" s="94">
        <v>0</v>
      </c>
      <c r="V20" s="94">
        <v>0</v>
      </c>
    </row>
    <row r="21" spans="1:25" s="44" customFormat="1" ht="14.25">
      <c r="A21" s="88"/>
      <c r="B21" s="88"/>
      <c r="C21" s="1"/>
      <c r="D21" s="1"/>
      <c r="E21" s="1"/>
      <c r="F21" s="1"/>
      <c r="H21" s="45"/>
      <c r="I21" s="95"/>
      <c r="J21" s="94"/>
      <c r="K21" s="94"/>
      <c r="L21" s="94"/>
      <c r="M21" s="95"/>
      <c r="N21" s="94"/>
      <c r="O21" s="94"/>
      <c r="P21" s="94"/>
      <c r="Q21" s="94"/>
      <c r="R21" s="95"/>
      <c r="S21" s="94"/>
      <c r="T21" s="94"/>
      <c r="U21" s="94"/>
      <c r="V21" s="94"/>
    </row>
    <row r="22" spans="1:25" s="44" customFormat="1" ht="14.25">
      <c r="A22" s="88"/>
      <c r="B22" s="88"/>
      <c r="C22" s="1"/>
      <c r="D22" s="1"/>
      <c r="E22" s="1"/>
      <c r="F22" s="1"/>
      <c r="H22" s="45" t="s">
        <v>15</v>
      </c>
      <c r="I22" s="95"/>
      <c r="J22" s="93">
        <f>+J23+J24+J25+J26</f>
        <v>52139279.18</v>
      </c>
      <c r="K22" s="93">
        <f>+K23+K24+K25+K26</f>
        <v>53984580</v>
      </c>
      <c r="L22" s="93">
        <f>+L23+L24+L25+L26</f>
        <v>53984580</v>
      </c>
      <c r="M22" s="191"/>
      <c r="N22" s="93">
        <f t="shared" ref="N22:Q22" si="5">+N23+N24+N25+N26</f>
        <v>3893596.9</v>
      </c>
      <c r="O22" s="93">
        <f t="shared" si="5"/>
        <v>4644670</v>
      </c>
      <c r="P22" s="93">
        <f t="shared" si="5"/>
        <v>4644670</v>
      </c>
      <c r="Q22" s="93">
        <f t="shared" si="5"/>
        <v>4430124.74</v>
      </c>
      <c r="R22" s="191"/>
      <c r="S22" s="93">
        <f t="shared" ref="S22:V22" si="6">+S23+S24+S25+S26</f>
        <v>26792092.260000002</v>
      </c>
      <c r="T22" s="93">
        <f t="shared" ref="T22" si="7">+T23+T24+T25+T26</f>
        <v>26962180</v>
      </c>
      <c r="U22" s="93">
        <f t="shared" ref="U22" si="8">+U23+U24+U25+U26</f>
        <v>26962180</v>
      </c>
      <c r="V22" s="93">
        <f t="shared" si="6"/>
        <v>26042309.059999999</v>
      </c>
      <c r="Y22" s="253">
        <f>+V22-U22</f>
        <v>-919870.94000000134</v>
      </c>
    </row>
    <row r="23" spans="1:25" s="44" customFormat="1" ht="14.25">
      <c r="A23" s="88"/>
      <c r="B23" s="88"/>
      <c r="C23" s="1"/>
      <c r="D23" s="1"/>
      <c r="E23" s="1"/>
      <c r="F23" s="1"/>
      <c r="H23" s="51" t="s">
        <v>106</v>
      </c>
      <c r="I23" s="187"/>
      <c r="J23" s="106">
        <v>43258078.32</v>
      </c>
      <c r="K23" s="106">
        <v>42171300</v>
      </c>
      <c r="L23" s="106">
        <v>42171300</v>
      </c>
      <c r="M23" s="95"/>
      <c r="N23" s="106">
        <v>3229915.43</v>
      </c>
      <c r="O23" s="106">
        <v>3660230</v>
      </c>
      <c r="P23" s="106">
        <v>3660230</v>
      </c>
      <c r="Q23" s="106">
        <v>3707789.98</v>
      </c>
      <c r="R23" s="95"/>
      <c r="S23" s="106">
        <f>19550479.42+N23</f>
        <v>22780394.850000001</v>
      </c>
      <c r="T23" s="106">
        <f>17395310+O23</f>
        <v>21055540</v>
      </c>
      <c r="U23" s="106">
        <f>17395310+P23</f>
        <v>21055540</v>
      </c>
      <c r="V23" s="106">
        <f>17906004.07+Q23</f>
        <v>21613794.050000001</v>
      </c>
      <c r="Y23" s="253">
        <f t="shared" ref="Y23:Y46" si="9">+V23-U23</f>
        <v>558254.05000000075</v>
      </c>
    </row>
    <row r="24" spans="1:25" s="44" customFormat="1" ht="14.25">
      <c r="A24" s="88"/>
      <c r="B24" s="88"/>
      <c r="C24" s="1"/>
      <c r="D24" s="1"/>
      <c r="E24" s="1"/>
      <c r="F24" s="1"/>
      <c r="H24" s="51" t="s">
        <v>107</v>
      </c>
      <c r="I24" s="187"/>
      <c r="J24" s="106">
        <v>2958378.53</v>
      </c>
      <c r="K24" s="106">
        <v>2477280</v>
      </c>
      <c r="L24" s="106">
        <v>2477280</v>
      </c>
      <c r="M24" s="95"/>
      <c r="N24" s="106">
        <v>224172.88</v>
      </c>
      <c r="O24" s="106">
        <v>206440</v>
      </c>
      <c r="P24" s="106">
        <v>206440</v>
      </c>
      <c r="Q24" s="106">
        <v>239842.63</v>
      </c>
      <c r="R24" s="95"/>
      <c r="S24" s="106">
        <f>928721.71+N24</f>
        <v>1152894.5899999999</v>
      </c>
      <c r="T24" s="106">
        <f>1032200+O24</f>
        <v>1238640</v>
      </c>
      <c r="U24" s="106">
        <f>1032200+P24</f>
        <v>1238640</v>
      </c>
      <c r="V24" s="106">
        <f>1257301.57+Q24</f>
        <v>1497144.2000000002</v>
      </c>
      <c r="Y24" s="253">
        <f t="shared" si="9"/>
        <v>258504.20000000019</v>
      </c>
    </row>
    <row r="25" spans="1:25" s="44" customFormat="1" ht="14.25">
      <c r="A25" s="88"/>
      <c r="B25" s="88"/>
      <c r="C25" s="1"/>
      <c r="D25" s="1"/>
      <c r="E25" s="1"/>
      <c r="F25" s="1"/>
      <c r="H25" s="51" t="s">
        <v>108</v>
      </c>
      <c r="I25" s="187"/>
      <c r="J25" s="106">
        <v>5922822.3300000001</v>
      </c>
      <c r="K25" s="106">
        <v>5880000</v>
      </c>
      <c r="L25" s="106">
        <v>5880000</v>
      </c>
      <c r="M25" s="95"/>
      <c r="N25" s="106">
        <v>439508.59</v>
      </c>
      <c r="O25" s="106">
        <v>490000</v>
      </c>
      <c r="P25" s="106">
        <v>490000</v>
      </c>
      <c r="Q25" s="106">
        <v>482492.13</v>
      </c>
      <c r="R25" s="95"/>
      <c r="S25" s="106">
        <f>2419294.23+N25</f>
        <v>2858802.82</v>
      </c>
      <c r="T25" s="106">
        <f>2450000+O25</f>
        <v>2940000</v>
      </c>
      <c r="U25" s="106">
        <f>2450000+P25</f>
        <v>2940000</v>
      </c>
      <c r="V25" s="106">
        <f>2448878.68+Q25</f>
        <v>2931370.81</v>
      </c>
      <c r="Y25" s="253">
        <f t="shared" si="9"/>
        <v>-8629.1899999999441</v>
      </c>
    </row>
    <row r="26" spans="1:25" s="44" customFormat="1" ht="14.25">
      <c r="A26" s="88"/>
      <c r="B26" s="88"/>
      <c r="C26" s="1"/>
      <c r="D26" s="1"/>
      <c r="E26" s="1"/>
      <c r="F26" s="1"/>
      <c r="H26" s="51" t="s">
        <v>147</v>
      </c>
      <c r="I26" s="95"/>
      <c r="J26" s="94">
        <v>0</v>
      </c>
      <c r="K26" s="94">
        <v>3456000</v>
      </c>
      <c r="L26" s="94">
        <v>3456000</v>
      </c>
      <c r="M26" s="95"/>
      <c r="N26" s="94">
        <v>0</v>
      </c>
      <c r="O26" s="94">
        <v>288000</v>
      </c>
      <c r="P26" s="94">
        <v>288000</v>
      </c>
      <c r="Q26" s="106">
        <v>0</v>
      </c>
      <c r="R26" s="95"/>
      <c r="S26" s="94">
        <v>0</v>
      </c>
      <c r="T26" s="94">
        <f>1440000+O26</f>
        <v>1728000</v>
      </c>
      <c r="U26" s="94">
        <f>1440000+P26</f>
        <v>1728000</v>
      </c>
      <c r="V26" s="106">
        <v>0</v>
      </c>
      <c r="Y26" s="253">
        <f t="shared" si="9"/>
        <v>-1728000</v>
      </c>
    </row>
    <row r="27" spans="1:25" s="44" customFormat="1" ht="14.25">
      <c r="A27" s="88"/>
      <c r="B27" s="88"/>
      <c r="C27" s="1"/>
      <c r="D27" s="1"/>
      <c r="E27" s="1"/>
      <c r="F27" s="1"/>
      <c r="H27" s="45"/>
      <c r="I27" s="95"/>
      <c r="J27" s="94"/>
      <c r="K27" s="94"/>
      <c r="L27" s="94"/>
      <c r="M27" s="95"/>
      <c r="N27" s="94"/>
      <c r="O27" s="94"/>
      <c r="P27" s="94"/>
      <c r="Q27" s="106"/>
      <c r="R27" s="95"/>
      <c r="S27" s="94"/>
      <c r="T27" s="94"/>
      <c r="U27" s="94"/>
      <c r="V27" s="106"/>
      <c r="Y27" s="253">
        <f t="shared" si="9"/>
        <v>0</v>
      </c>
    </row>
    <row r="28" spans="1:25" s="44" customFormat="1" ht="14.25">
      <c r="A28" s="88"/>
      <c r="B28" s="88"/>
      <c r="C28" s="1"/>
      <c r="D28" s="1"/>
      <c r="E28" s="1"/>
      <c r="F28" s="1"/>
      <c r="H28" s="45" t="s">
        <v>16</v>
      </c>
      <c r="I28" s="95"/>
      <c r="J28" s="93">
        <f>+J29</f>
        <v>1565673.13</v>
      </c>
      <c r="K28" s="93">
        <f>+K29</f>
        <v>1248180</v>
      </c>
      <c r="L28" s="93">
        <f>+L29</f>
        <v>1248180</v>
      </c>
      <c r="M28" s="95"/>
      <c r="N28" s="93">
        <f>+N29</f>
        <v>135154.23000000001</v>
      </c>
      <c r="O28" s="93">
        <f>+O29</f>
        <v>103883</v>
      </c>
      <c r="P28" s="93">
        <f>+P29</f>
        <v>103883</v>
      </c>
      <c r="Q28" s="93">
        <f>+Q29</f>
        <v>200251.37</v>
      </c>
      <c r="R28" s="191"/>
      <c r="S28" s="93">
        <f>+S29</f>
        <v>769514.80999999994</v>
      </c>
      <c r="T28" s="93">
        <f>+T29</f>
        <v>616581</v>
      </c>
      <c r="U28" s="93">
        <f>+U29</f>
        <v>616581</v>
      </c>
      <c r="V28" s="93">
        <f>+V29</f>
        <v>1012723.25</v>
      </c>
      <c r="Y28" s="253">
        <f t="shared" si="9"/>
        <v>396142.25</v>
      </c>
    </row>
    <row r="29" spans="1:25" s="44" customFormat="1" ht="14.25">
      <c r="A29" s="88"/>
      <c r="B29" s="88"/>
      <c r="C29" s="1"/>
      <c r="D29" s="1"/>
      <c r="E29" s="1"/>
      <c r="F29" s="1"/>
      <c r="H29" s="252" t="s">
        <v>105</v>
      </c>
      <c r="I29" s="95"/>
      <c r="J29" s="94">
        <v>1565673.13</v>
      </c>
      <c r="K29" s="94">
        <v>1248180</v>
      </c>
      <c r="L29" s="94">
        <v>1248180</v>
      </c>
      <c r="M29" s="95"/>
      <c r="N29" s="94">
        <v>135154.23000000001</v>
      </c>
      <c r="O29" s="94">
        <v>103883</v>
      </c>
      <c r="P29" s="94">
        <v>103883</v>
      </c>
      <c r="Q29" s="94">
        <f>1962.77+198288.6</f>
        <v>200251.37</v>
      </c>
      <c r="R29" s="95"/>
      <c r="S29" s="94">
        <f>634360.58+N29</f>
        <v>769514.80999999994</v>
      </c>
      <c r="T29" s="106">
        <f>512698+O29</f>
        <v>616581</v>
      </c>
      <c r="U29" s="106">
        <f>512698+P29</f>
        <v>616581</v>
      </c>
      <c r="V29" s="94">
        <f>812471.88+Q29</f>
        <v>1012723.25</v>
      </c>
      <c r="Y29" s="253">
        <f t="shared" si="9"/>
        <v>396142.25</v>
      </c>
    </row>
    <row r="30" spans="1:25" s="44" customFormat="1" ht="14.25">
      <c r="A30" s="88"/>
      <c r="B30" s="88"/>
      <c r="C30" s="1"/>
      <c r="D30" s="1"/>
      <c r="E30" s="1"/>
      <c r="F30" s="1"/>
      <c r="H30" s="252"/>
      <c r="I30" s="95"/>
      <c r="J30" s="94"/>
      <c r="K30" s="94"/>
      <c r="L30" s="94"/>
      <c r="M30" s="95"/>
      <c r="N30" s="94"/>
      <c r="O30" s="94"/>
      <c r="P30" s="94"/>
      <c r="Q30" s="94"/>
      <c r="R30" s="95"/>
      <c r="S30" s="94"/>
      <c r="T30" s="94"/>
      <c r="U30" s="94"/>
      <c r="V30" s="94"/>
      <c r="Y30" s="253">
        <f t="shared" si="9"/>
        <v>0</v>
      </c>
    </row>
    <row r="31" spans="1:25" s="44" customFormat="1" ht="14.25">
      <c r="A31" s="88"/>
      <c r="B31" s="88"/>
      <c r="C31" s="1"/>
      <c r="D31" s="1"/>
      <c r="E31" s="1"/>
      <c r="F31" s="1"/>
      <c r="H31" s="45" t="s">
        <v>17</v>
      </c>
      <c r="I31" s="95"/>
      <c r="J31" s="93">
        <f t="shared" ref="J31" si="10">+J32+J39+J33</f>
        <v>2151251.92</v>
      </c>
      <c r="K31" s="93">
        <f>+K32+K39+K33</f>
        <v>185240</v>
      </c>
      <c r="L31" s="93">
        <f>+L32+L39+L33</f>
        <v>1338240</v>
      </c>
      <c r="M31" s="191"/>
      <c r="N31" s="93">
        <f t="shared" ref="N31:Q31" si="11">+N32+N39+N33</f>
        <v>26782.58</v>
      </c>
      <c r="O31" s="93">
        <f t="shared" si="11"/>
        <v>16900</v>
      </c>
      <c r="P31" s="93">
        <f t="shared" si="11"/>
        <v>16900</v>
      </c>
      <c r="Q31" s="93">
        <f t="shared" si="11"/>
        <v>15952.849999999999</v>
      </c>
      <c r="R31" s="191"/>
      <c r="S31" s="93">
        <f t="shared" ref="S31:V31" si="12">+S32+S39+S33</f>
        <v>180597.62</v>
      </c>
      <c r="T31" s="93">
        <f t="shared" si="12"/>
        <v>94890</v>
      </c>
      <c r="U31" s="93">
        <f t="shared" si="12"/>
        <v>1247890</v>
      </c>
      <c r="V31" s="93">
        <f t="shared" si="12"/>
        <v>1290870.19</v>
      </c>
      <c r="Y31" s="253">
        <f t="shared" si="9"/>
        <v>42980.189999999944</v>
      </c>
    </row>
    <row r="32" spans="1:25" s="44" customFormat="1" ht="14.25">
      <c r="A32" s="88"/>
      <c r="B32" s="88"/>
      <c r="C32" s="1"/>
      <c r="D32" s="1"/>
      <c r="E32" s="1"/>
      <c r="F32" s="1"/>
      <c r="H32" s="47" t="s">
        <v>109</v>
      </c>
      <c r="I32" s="188"/>
      <c r="J32" s="106">
        <v>311049.34999999998</v>
      </c>
      <c r="K32" s="106">
        <v>185240</v>
      </c>
      <c r="L32" s="106">
        <v>185240</v>
      </c>
      <c r="M32" s="106"/>
      <c r="N32" s="94">
        <v>26782.58</v>
      </c>
      <c r="O32" s="94">
        <v>16900</v>
      </c>
      <c r="P32" s="94">
        <v>16900</v>
      </c>
      <c r="Q32" s="106">
        <f>17915.62-1962.77</f>
        <v>15952.849999999999</v>
      </c>
      <c r="R32" s="106"/>
      <c r="S32" s="168">
        <f>82912.47+N32</f>
        <v>109695.05</v>
      </c>
      <c r="T32" s="106">
        <f>77990+O32</f>
        <v>94890</v>
      </c>
      <c r="U32" s="106">
        <f>77990+P32</f>
        <v>94890</v>
      </c>
      <c r="V32" s="106">
        <f>121917.34+Q32</f>
        <v>137870.19</v>
      </c>
      <c r="Y32" s="253">
        <f t="shared" si="9"/>
        <v>42980.19</v>
      </c>
    </row>
    <row r="33" spans="1:26" s="44" customFormat="1" ht="14.25">
      <c r="A33" s="88"/>
      <c r="B33" s="88"/>
      <c r="C33" s="1"/>
      <c r="D33" s="1"/>
      <c r="E33" s="1"/>
      <c r="F33" s="1"/>
      <c r="H33" s="47" t="s">
        <v>129</v>
      </c>
      <c r="I33" s="95"/>
      <c r="J33" s="94">
        <v>70902.570000000007</v>
      </c>
      <c r="K33" s="94">
        <v>0</v>
      </c>
      <c r="L33" s="94">
        <v>0</v>
      </c>
      <c r="M33" s="95"/>
      <c r="N33" s="94">
        <v>0</v>
      </c>
      <c r="O33" s="106">
        <v>0</v>
      </c>
      <c r="P33" s="106">
        <v>0</v>
      </c>
      <c r="Q33" s="94">
        <v>0</v>
      </c>
      <c r="R33" s="95"/>
      <c r="S33" s="94">
        <v>70902.570000000007</v>
      </c>
      <c r="T33" s="106">
        <v>0</v>
      </c>
      <c r="U33" s="106">
        <v>0</v>
      </c>
      <c r="V33" s="94">
        <v>0</v>
      </c>
      <c r="Y33" s="253">
        <f t="shared" si="9"/>
        <v>0</v>
      </c>
    </row>
    <row r="34" spans="1:26" s="44" customFormat="1" ht="14.25">
      <c r="A34" s="88"/>
      <c r="B34" s="88"/>
      <c r="C34" s="1"/>
      <c r="D34" s="1"/>
      <c r="E34" s="1"/>
      <c r="F34" s="1"/>
      <c r="H34" s="47"/>
      <c r="I34" s="95"/>
      <c r="J34" s="94"/>
      <c r="K34" s="94"/>
      <c r="L34" s="94"/>
      <c r="M34" s="95"/>
      <c r="N34" s="94"/>
      <c r="O34" s="106"/>
      <c r="P34" s="106"/>
      <c r="Q34" s="94"/>
      <c r="R34" s="95"/>
      <c r="S34" s="94"/>
      <c r="T34" s="106"/>
      <c r="U34" s="106"/>
      <c r="V34" s="94"/>
      <c r="Y34" s="253">
        <f t="shared" si="9"/>
        <v>0</v>
      </c>
    </row>
    <row r="35" spans="1:26" s="44" customFormat="1" ht="14.25">
      <c r="A35" s="88"/>
      <c r="B35" s="88"/>
      <c r="C35" s="1"/>
      <c r="D35" s="1"/>
      <c r="E35" s="1"/>
      <c r="F35" s="1"/>
      <c r="H35" s="45" t="s">
        <v>30</v>
      </c>
      <c r="I35" s="95"/>
      <c r="J35" s="94"/>
      <c r="K35" s="50"/>
      <c r="L35" s="50"/>
      <c r="M35" s="95"/>
      <c r="N35" s="94"/>
      <c r="O35" s="50"/>
      <c r="P35" s="50"/>
      <c r="Q35" s="50"/>
      <c r="R35" s="95"/>
      <c r="S35" s="94"/>
      <c r="T35" s="50"/>
      <c r="U35" s="50"/>
      <c r="V35" s="50"/>
      <c r="Y35" s="253">
        <f t="shared" si="9"/>
        <v>0</v>
      </c>
    </row>
    <row r="36" spans="1:26" s="44" customFormat="1" ht="14.25">
      <c r="A36" s="88"/>
      <c r="B36" s="88"/>
      <c r="C36" s="1"/>
      <c r="D36" s="1"/>
      <c r="E36" s="1"/>
      <c r="F36" s="1"/>
      <c r="H36" s="47" t="s">
        <v>31</v>
      </c>
      <c r="I36" s="95"/>
      <c r="J36" s="94"/>
      <c r="K36" s="94" t="s">
        <v>124</v>
      </c>
      <c r="L36" s="94"/>
      <c r="M36" s="95"/>
      <c r="N36" s="94"/>
      <c r="O36" s="94"/>
      <c r="P36" s="94"/>
      <c r="Q36" s="192"/>
      <c r="R36" s="95"/>
      <c r="S36" s="94"/>
      <c r="T36" s="94"/>
      <c r="U36" s="94"/>
      <c r="V36" s="94"/>
      <c r="Y36" s="253">
        <f t="shared" si="9"/>
        <v>0</v>
      </c>
    </row>
    <row r="37" spans="1:26" s="44" customFormat="1" ht="14.25">
      <c r="A37" s="88"/>
      <c r="B37" s="88"/>
      <c r="C37" s="1"/>
      <c r="D37" s="1"/>
      <c r="E37" s="1"/>
      <c r="F37" s="1"/>
      <c r="H37" s="47" t="s">
        <v>32</v>
      </c>
      <c r="I37" s="95"/>
      <c r="J37" s="94"/>
      <c r="K37" s="94"/>
      <c r="L37" s="94"/>
      <c r="M37" s="95"/>
      <c r="N37" s="94"/>
      <c r="O37" s="94"/>
      <c r="P37" s="94"/>
      <c r="Q37" s="192"/>
      <c r="R37" s="95"/>
      <c r="S37" s="94"/>
      <c r="T37" s="94"/>
      <c r="U37" s="94"/>
      <c r="V37" s="94"/>
      <c r="Y37" s="253">
        <f t="shared" si="9"/>
        <v>0</v>
      </c>
    </row>
    <row r="38" spans="1:26" s="44" customFormat="1" ht="14.25">
      <c r="A38" s="88"/>
      <c r="B38" s="88"/>
      <c r="C38" s="1"/>
      <c r="D38" s="1"/>
      <c r="E38" s="1"/>
      <c r="F38" s="1"/>
      <c r="H38" s="47"/>
      <c r="I38" s="95"/>
      <c r="J38" s="94"/>
      <c r="K38" s="94"/>
      <c r="L38" s="94"/>
      <c r="M38" s="95"/>
      <c r="N38" s="94"/>
      <c r="O38" s="192"/>
      <c r="P38" s="94"/>
      <c r="Q38" s="192"/>
      <c r="R38" s="95"/>
      <c r="S38" s="94"/>
      <c r="T38" s="94"/>
      <c r="U38" s="94"/>
      <c r="V38" s="94"/>
      <c r="Y38" s="253">
        <f t="shared" si="9"/>
        <v>0</v>
      </c>
    </row>
    <row r="39" spans="1:26" ht="14.25">
      <c r="H39" s="45" t="s">
        <v>94</v>
      </c>
      <c r="I39" s="95"/>
      <c r="J39" s="49">
        <f>SUM(J40:J41)</f>
        <v>1769300</v>
      </c>
      <c r="K39" s="49">
        <f>SUM(K40:K41)</f>
        <v>0</v>
      </c>
      <c r="L39" s="49">
        <f>SUM(L40:L41)</f>
        <v>1153000</v>
      </c>
      <c r="M39" s="95"/>
      <c r="N39" s="49">
        <f>SUM(N40:N41)</f>
        <v>0</v>
      </c>
      <c r="O39" s="113">
        <f>SUM(O40:O41)</f>
        <v>0</v>
      </c>
      <c r="P39" s="49">
        <f>SUM(P40:P41)</f>
        <v>0</v>
      </c>
      <c r="Q39" s="113">
        <f>SUM(Q40:Q41)</f>
        <v>0</v>
      </c>
      <c r="R39" s="95"/>
      <c r="S39" s="49">
        <f>SUM(S40:S41)</f>
        <v>0</v>
      </c>
      <c r="T39" s="113">
        <f>SUM(T40:T41)</f>
        <v>0</v>
      </c>
      <c r="U39" s="49">
        <f>SUM(U40:U41)</f>
        <v>1153000</v>
      </c>
      <c r="V39" s="49">
        <f>SUM(V40:V41)</f>
        <v>1153000</v>
      </c>
      <c r="Y39" s="253">
        <f t="shared" si="9"/>
        <v>0</v>
      </c>
    </row>
    <row r="40" spans="1:26" ht="14.25">
      <c r="H40" s="47" t="s">
        <v>60</v>
      </c>
      <c r="I40" s="95"/>
      <c r="J40" s="106">
        <v>1769300</v>
      </c>
      <c r="K40" s="106">
        <v>0</v>
      </c>
      <c r="L40" s="106">
        <v>1153000</v>
      </c>
      <c r="M40" s="106"/>
      <c r="N40" s="106">
        <v>0</v>
      </c>
      <c r="O40" s="106">
        <v>0</v>
      </c>
      <c r="P40" s="168">
        <v>0</v>
      </c>
      <c r="Q40" s="193">
        <v>0</v>
      </c>
      <c r="R40" s="106"/>
      <c r="S40" s="106">
        <v>0</v>
      </c>
      <c r="T40" s="106">
        <v>0</v>
      </c>
      <c r="U40" s="195">
        <v>1153000</v>
      </c>
      <c r="V40" s="168">
        <v>1153000</v>
      </c>
      <c r="Y40" s="253">
        <f t="shared" si="9"/>
        <v>0</v>
      </c>
    </row>
    <row r="41" spans="1:26" s="41" customFormat="1" ht="21.75" customHeight="1">
      <c r="A41" s="91"/>
      <c r="B41" s="91"/>
      <c r="C41" s="40"/>
      <c r="D41" s="40"/>
      <c r="E41" s="40"/>
      <c r="F41" s="40"/>
      <c r="H41" s="47" t="s">
        <v>61</v>
      </c>
      <c r="I41" s="95"/>
      <c r="J41" s="94"/>
      <c r="K41" s="94"/>
      <c r="L41" s="94"/>
      <c r="M41" s="95"/>
      <c r="N41" s="94"/>
      <c r="O41" s="106"/>
      <c r="P41" s="94"/>
      <c r="Q41" s="192"/>
      <c r="R41" s="95"/>
      <c r="S41" s="94"/>
      <c r="T41" s="106"/>
      <c r="U41" s="94"/>
      <c r="V41" s="94"/>
      <c r="Y41" s="253">
        <f t="shared" si="9"/>
        <v>0</v>
      </c>
    </row>
    <row r="42" spans="1:26" s="44" customFormat="1" ht="14.25">
      <c r="A42" s="88"/>
      <c r="B42" s="88"/>
      <c r="C42" s="1"/>
      <c r="D42" s="1"/>
      <c r="E42" s="1"/>
      <c r="F42" s="1"/>
      <c r="H42" s="47"/>
      <c r="I42" s="95"/>
      <c r="J42" s="94"/>
      <c r="K42" s="94"/>
      <c r="L42" s="94"/>
      <c r="M42" s="95"/>
      <c r="N42" s="94"/>
      <c r="O42" s="94"/>
      <c r="P42" s="94"/>
      <c r="Q42" s="192"/>
      <c r="R42" s="95"/>
      <c r="S42" s="94"/>
      <c r="T42" s="94"/>
      <c r="U42" s="94"/>
      <c r="V42" s="94"/>
      <c r="Y42" s="253">
        <f t="shared" si="9"/>
        <v>0</v>
      </c>
    </row>
    <row r="43" spans="1:26" s="44" customFormat="1" ht="14.25">
      <c r="A43" s="88"/>
      <c r="B43" s="88"/>
      <c r="C43" s="1"/>
      <c r="D43" s="1"/>
      <c r="E43" s="1"/>
      <c r="F43" s="1"/>
      <c r="H43" s="43" t="s">
        <v>102</v>
      </c>
      <c r="I43" s="95"/>
      <c r="J43" s="37">
        <f>+J44+J47</f>
        <v>27652283</v>
      </c>
      <c r="K43" s="37">
        <f>+K44+K47</f>
        <v>28076457</v>
      </c>
      <c r="L43" s="37">
        <f>+L44+L47</f>
        <v>28076457</v>
      </c>
      <c r="M43" s="95"/>
      <c r="N43" s="37">
        <f>+N44+N47</f>
        <v>2210533</v>
      </c>
      <c r="O43" s="37">
        <f>+O44+O47</f>
        <v>2279678</v>
      </c>
      <c r="P43" s="37">
        <f>+P44+P47</f>
        <v>2279678</v>
      </c>
      <c r="Q43" s="194">
        <f>+Q44+Q47</f>
        <v>2279678</v>
      </c>
      <c r="R43" s="95"/>
      <c r="S43" s="37">
        <f>+S44+S47</f>
        <v>11002665</v>
      </c>
      <c r="T43" s="37">
        <f>+T44+T47</f>
        <v>11398390</v>
      </c>
      <c r="U43" s="37">
        <f>+U44+U47</f>
        <v>11398390</v>
      </c>
      <c r="V43" s="37">
        <f>+V44+V47</f>
        <v>11398390</v>
      </c>
      <c r="Y43" s="253">
        <f t="shared" si="9"/>
        <v>0</v>
      </c>
      <c r="Z43" s="44">
        <v>0</v>
      </c>
    </row>
    <row r="44" spans="1:26" ht="14.25">
      <c r="H44" s="51" t="s">
        <v>33</v>
      </c>
      <c r="I44" s="95"/>
      <c r="J44" s="143">
        <f t="shared" ref="J44" si="13">+J45</f>
        <v>27652283</v>
      </c>
      <c r="K44" s="106">
        <f t="shared" ref="K44:L44" si="14">+K45</f>
        <v>28076457</v>
      </c>
      <c r="L44" s="106">
        <f t="shared" si="14"/>
        <v>28076457</v>
      </c>
      <c r="M44" s="106"/>
      <c r="N44" s="195">
        <f>+N45</f>
        <v>2210533</v>
      </c>
      <c r="O44" s="106">
        <f t="shared" ref="O44:Q44" si="15">+O45</f>
        <v>2279678</v>
      </c>
      <c r="P44" s="106">
        <f t="shared" si="15"/>
        <v>2279678</v>
      </c>
      <c r="Q44" s="195">
        <f t="shared" si="15"/>
        <v>2279678</v>
      </c>
      <c r="R44" s="106"/>
      <c r="S44" s="195">
        <f>+S45</f>
        <v>11002665</v>
      </c>
      <c r="T44" s="195">
        <f t="shared" ref="T44:V44" si="16">+T45</f>
        <v>11398390</v>
      </c>
      <c r="U44" s="195">
        <f t="shared" si="16"/>
        <v>11398390</v>
      </c>
      <c r="V44" s="195">
        <f t="shared" si="16"/>
        <v>11398390</v>
      </c>
      <c r="Y44" s="253">
        <f t="shared" si="9"/>
        <v>0</v>
      </c>
    </row>
    <row r="45" spans="1:26" ht="14.25">
      <c r="H45" s="47" t="s">
        <v>19</v>
      </c>
      <c r="I45" s="95"/>
      <c r="J45" s="106">
        <v>27652283</v>
      </c>
      <c r="K45" s="106">
        <v>28076457</v>
      </c>
      <c r="L45" s="106">
        <v>28076457</v>
      </c>
      <c r="M45" s="106"/>
      <c r="N45" s="139">
        <v>2210533</v>
      </c>
      <c r="O45" s="106">
        <v>2279678</v>
      </c>
      <c r="P45" s="106">
        <v>2279678</v>
      </c>
      <c r="Q45" s="193">
        <v>2279678</v>
      </c>
      <c r="R45" s="106"/>
      <c r="S45" s="106">
        <f>8792132+N45</f>
        <v>11002665</v>
      </c>
      <c r="T45" s="106">
        <f>9118712+O45</f>
        <v>11398390</v>
      </c>
      <c r="U45" s="106">
        <f t="shared" ref="U45:V45" si="17">9118712+P45</f>
        <v>11398390</v>
      </c>
      <c r="V45" s="106">
        <f t="shared" si="17"/>
        <v>11398390</v>
      </c>
      <c r="Y45" s="253">
        <f t="shared" si="9"/>
        <v>0</v>
      </c>
    </row>
    <row r="46" spans="1:26" ht="14.25">
      <c r="H46" s="47" t="s">
        <v>20</v>
      </c>
      <c r="I46" s="95"/>
      <c r="J46" s="94"/>
      <c r="K46" s="94"/>
      <c r="L46" s="94"/>
      <c r="M46" s="95"/>
      <c r="N46" s="94"/>
      <c r="O46" s="94"/>
      <c r="P46" s="94"/>
      <c r="Q46" s="192"/>
      <c r="R46" s="95"/>
      <c r="S46" s="94"/>
      <c r="T46" s="94"/>
      <c r="U46" s="94"/>
      <c r="V46" s="94"/>
      <c r="Y46" s="253">
        <f t="shared" si="9"/>
        <v>0</v>
      </c>
    </row>
    <row r="47" spans="1:26" ht="14.25">
      <c r="H47" s="51" t="s">
        <v>21</v>
      </c>
      <c r="I47" s="95"/>
      <c r="J47" s="94"/>
      <c r="K47" s="94"/>
      <c r="L47" s="94"/>
      <c r="M47" s="95"/>
      <c r="N47" s="94"/>
      <c r="O47" s="94"/>
      <c r="P47" s="94"/>
      <c r="Q47" s="192"/>
      <c r="R47" s="95"/>
      <c r="S47" s="94"/>
      <c r="T47" s="94"/>
      <c r="U47" s="94"/>
      <c r="V47" s="94"/>
    </row>
    <row r="48" spans="1:26" ht="14.25">
      <c r="H48" s="47" t="s">
        <v>19</v>
      </c>
      <c r="I48" s="95"/>
      <c r="J48" s="94"/>
      <c r="K48" s="94"/>
      <c r="L48" s="94"/>
      <c r="M48" s="95"/>
      <c r="N48" s="94"/>
      <c r="O48" s="94"/>
      <c r="P48" s="94"/>
      <c r="Q48" s="192"/>
      <c r="R48" s="95"/>
      <c r="S48" s="94"/>
      <c r="T48" s="94"/>
      <c r="U48" s="94"/>
      <c r="V48" s="94"/>
    </row>
    <row r="49" spans="1:22" ht="14.25">
      <c r="H49" s="47" t="s">
        <v>62</v>
      </c>
      <c r="I49" s="95"/>
      <c r="J49" s="94"/>
      <c r="K49" s="94"/>
      <c r="L49" s="94"/>
      <c r="M49" s="95"/>
      <c r="N49" s="94"/>
      <c r="O49" s="94"/>
      <c r="P49" s="94"/>
      <c r="Q49" s="192"/>
      <c r="R49" s="95"/>
      <c r="S49" s="94"/>
      <c r="T49" s="94"/>
      <c r="U49" s="94"/>
      <c r="V49" s="94"/>
    </row>
    <row r="50" spans="1:22" ht="14.25">
      <c r="H50" s="43" t="s">
        <v>91</v>
      </c>
      <c r="I50" s="95"/>
      <c r="J50" s="37">
        <f>+J51+J52</f>
        <v>0</v>
      </c>
      <c r="K50" s="37">
        <f>+K51+K52</f>
        <v>0</v>
      </c>
      <c r="L50" s="37">
        <f>+L51+L52</f>
        <v>0</v>
      </c>
      <c r="M50" s="95"/>
      <c r="N50" s="37">
        <f>+N51+N52</f>
        <v>0</v>
      </c>
      <c r="O50" s="37">
        <f>+O51+O52</f>
        <v>0</v>
      </c>
      <c r="P50" s="37">
        <f>+P51+P52</f>
        <v>0</v>
      </c>
      <c r="Q50" s="194">
        <f>+Q51+Q52</f>
        <v>0</v>
      </c>
      <c r="R50" s="95"/>
      <c r="S50" s="37">
        <f>+S51+S52</f>
        <v>0</v>
      </c>
      <c r="T50" s="37">
        <f>+T51+T52</f>
        <v>0</v>
      </c>
      <c r="U50" s="37">
        <f>+U51+U52</f>
        <v>0</v>
      </c>
      <c r="V50" s="37">
        <f>+V51+V52</f>
        <v>0</v>
      </c>
    </row>
    <row r="51" spans="1:22" s="41" customFormat="1" ht="21.75" customHeight="1">
      <c r="A51" s="91"/>
      <c r="B51" s="91"/>
      <c r="C51" s="40"/>
      <c r="D51" s="40"/>
      <c r="E51" s="40"/>
      <c r="F51" s="40"/>
      <c r="H51" s="51" t="s">
        <v>33</v>
      </c>
      <c r="I51" s="95"/>
      <c r="J51" s="94"/>
      <c r="K51" s="94"/>
      <c r="L51" s="94"/>
      <c r="M51" s="95"/>
      <c r="N51" s="94"/>
      <c r="O51" s="192"/>
      <c r="P51" s="94"/>
      <c r="Q51" s="192"/>
      <c r="R51" s="95"/>
      <c r="S51" s="94"/>
      <c r="T51" s="94"/>
      <c r="U51" s="94"/>
      <c r="V51" s="94"/>
    </row>
    <row r="52" spans="1:22" ht="14.25">
      <c r="H52" s="51" t="s">
        <v>21</v>
      </c>
      <c r="I52" s="95"/>
      <c r="J52" s="94"/>
      <c r="K52" s="94"/>
      <c r="L52" s="94"/>
      <c r="M52" s="95"/>
      <c r="N52" s="94"/>
      <c r="O52" s="94"/>
      <c r="P52" s="94"/>
      <c r="Q52" s="94"/>
      <c r="R52" s="95"/>
      <c r="S52" s="94"/>
      <c r="T52" s="94"/>
      <c r="U52" s="94"/>
      <c r="V52" s="94"/>
    </row>
    <row r="53" spans="1:22" ht="14.25">
      <c r="H53" s="42" t="s">
        <v>92</v>
      </c>
      <c r="I53" s="95"/>
      <c r="J53" s="37">
        <f>J54</f>
        <v>0</v>
      </c>
      <c r="K53" s="37">
        <f>SUM(K54)</f>
        <v>0</v>
      </c>
      <c r="L53" s="37">
        <f>SUM(L54)</f>
        <v>0</v>
      </c>
      <c r="M53" s="95"/>
      <c r="N53" s="37">
        <f>SUM(N54)</f>
        <v>0</v>
      </c>
      <c r="O53" s="37">
        <f>SUM(O54)</f>
        <v>0</v>
      </c>
      <c r="P53" s="37">
        <f>SUM(P54)</f>
        <v>0</v>
      </c>
      <c r="Q53" s="37">
        <f>SUM(Q54)</f>
        <v>0</v>
      </c>
      <c r="R53" s="95"/>
      <c r="S53" s="37">
        <f>SUM(S54)</f>
        <v>0</v>
      </c>
      <c r="T53" s="37">
        <f>SUM(T54)</f>
        <v>0</v>
      </c>
      <c r="U53" s="37">
        <f>SUM(U54)</f>
        <v>0</v>
      </c>
      <c r="V53" s="37">
        <f>SUM(V54)</f>
        <v>0</v>
      </c>
    </row>
    <row r="54" spans="1:22" ht="14.25">
      <c r="H54" s="52" t="s">
        <v>93</v>
      </c>
      <c r="I54" s="95"/>
      <c r="J54" s="49">
        <f>+J55-J56</f>
        <v>0</v>
      </c>
      <c r="K54" s="49">
        <f>+K55-K56</f>
        <v>0</v>
      </c>
      <c r="L54" s="49">
        <f>+L55-L56</f>
        <v>0</v>
      </c>
      <c r="M54" s="95"/>
      <c r="N54" s="49">
        <f>+N55-N56</f>
        <v>0</v>
      </c>
      <c r="O54" s="49">
        <f>+O55-O56</f>
        <v>0</v>
      </c>
      <c r="P54" s="49">
        <f>+P55-P56</f>
        <v>0</v>
      </c>
      <c r="Q54" s="49">
        <f>+Q55-Q56</f>
        <v>0</v>
      </c>
      <c r="R54" s="95"/>
      <c r="S54" s="49">
        <f>+S55-S56</f>
        <v>0</v>
      </c>
      <c r="T54" s="49">
        <f>+T55-T56</f>
        <v>0</v>
      </c>
      <c r="U54" s="49">
        <f>+U55-U56</f>
        <v>0</v>
      </c>
      <c r="V54" s="49">
        <f>+V55-V56</f>
        <v>0</v>
      </c>
    </row>
    <row r="55" spans="1:22" ht="14.25">
      <c r="H55" s="51" t="s">
        <v>34</v>
      </c>
      <c r="I55" s="95"/>
      <c r="J55" s="94"/>
      <c r="K55" s="94"/>
      <c r="L55" s="94"/>
      <c r="M55" s="95"/>
      <c r="N55" s="94"/>
      <c r="O55" s="94"/>
      <c r="P55" s="94"/>
      <c r="Q55" s="94"/>
      <c r="R55" s="95"/>
      <c r="S55" s="46"/>
      <c r="T55" s="46"/>
      <c r="U55" s="46"/>
      <c r="V55" s="46"/>
    </row>
    <row r="56" spans="1:22" ht="14.25">
      <c r="H56" s="53" t="s">
        <v>25</v>
      </c>
      <c r="I56" s="189"/>
      <c r="J56" s="96"/>
      <c r="K56" s="96"/>
      <c r="L56" s="96"/>
      <c r="M56" s="189"/>
      <c r="N56" s="96"/>
      <c r="O56" s="96"/>
      <c r="P56" s="96"/>
      <c r="Q56" s="96"/>
      <c r="R56" s="189"/>
      <c r="S56" s="92"/>
      <c r="T56" s="92"/>
      <c r="U56" s="92"/>
      <c r="V56" s="92"/>
    </row>
    <row r="58" spans="1:22" ht="15" customHeight="1">
      <c r="H58" s="268" t="s">
        <v>99</v>
      </c>
      <c r="I58" s="269"/>
      <c r="J58" s="269"/>
      <c r="K58" s="269"/>
      <c r="L58" s="269"/>
      <c r="M58" s="269"/>
      <c r="N58" s="269"/>
      <c r="O58" s="269"/>
      <c r="P58" s="269"/>
      <c r="Q58" s="269"/>
      <c r="R58" s="269"/>
      <c r="S58" s="269"/>
      <c r="T58" s="269"/>
      <c r="U58" s="269"/>
      <c r="V58" s="270"/>
    </row>
    <row r="59" spans="1:22" ht="14.25" customHeight="1">
      <c r="H59" s="271"/>
      <c r="I59" s="272"/>
      <c r="J59" s="272"/>
      <c r="K59" s="272"/>
      <c r="L59" s="272"/>
      <c r="M59" s="272"/>
      <c r="N59" s="272"/>
      <c r="O59" s="272"/>
      <c r="P59" s="272"/>
      <c r="Q59" s="272"/>
      <c r="R59" s="272"/>
      <c r="S59" s="272"/>
      <c r="T59" s="272"/>
      <c r="U59" s="272"/>
      <c r="V59" s="273"/>
    </row>
    <row r="60" spans="1:22" ht="14.25">
      <c r="H60" s="4" t="s">
        <v>43</v>
      </c>
      <c r="I60" s="48"/>
      <c r="J60" s="4"/>
      <c r="K60" s="4"/>
      <c r="L60" s="4"/>
      <c r="M60" s="48"/>
      <c r="N60" s="4"/>
      <c r="O60" s="4"/>
      <c r="P60" s="4"/>
      <c r="Q60" s="4"/>
      <c r="R60" s="48"/>
      <c r="S60" s="4"/>
      <c r="T60" s="4"/>
      <c r="U60" s="4"/>
      <c r="V60" s="4"/>
    </row>
    <row r="61" spans="1:22" ht="14.25">
      <c r="H61" s="4"/>
      <c r="I61" s="48"/>
      <c r="J61" s="4"/>
      <c r="K61" s="4"/>
      <c r="L61" s="4"/>
      <c r="M61" s="48"/>
      <c r="N61" s="4"/>
      <c r="O61" s="4"/>
      <c r="P61" s="4"/>
      <c r="Q61" s="4"/>
      <c r="R61" s="48"/>
      <c r="S61" s="4"/>
      <c r="T61" s="4"/>
      <c r="U61" s="4"/>
      <c r="V61" s="4"/>
    </row>
    <row r="68" ht="39" customHeight="1"/>
  </sheetData>
  <mergeCells count="17">
    <mergeCell ref="H58:V59"/>
    <mergeCell ref="K10:L10"/>
    <mergeCell ref="H10:H12"/>
    <mergeCell ref="J8:L9"/>
    <mergeCell ref="N8:Q9"/>
    <mergeCell ref="S8:V9"/>
    <mergeCell ref="T3:V3"/>
    <mergeCell ref="J11:J12"/>
    <mergeCell ref="K11:K12"/>
    <mergeCell ref="L11:L12"/>
    <mergeCell ref="O11:P11"/>
    <mergeCell ref="T11:U11"/>
    <mergeCell ref="N11:N12"/>
    <mergeCell ref="S11:S12"/>
    <mergeCell ref="V11:V12"/>
    <mergeCell ref="O10:Q10"/>
    <mergeCell ref="T10:V10"/>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7"/>
  <sheetViews>
    <sheetView showGridLines="0" view="pageBreakPreview" topLeftCell="F1" workbookViewId="0">
      <selection activeCell="M25" sqref="M25"/>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6" width="19.85546875" style="1" bestFit="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9.28515625" style="1" bestFit="1" customWidth="1"/>
    <col min="14" max="14" width="10.5703125" style="1" customWidth="1"/>
    <col min="15" max="16384" width="11.42578125" style="1"/>
  </cols>
  <sheetData>
    <row r="1" spans="2:14">
      <c r="L1" s="280"/>
      <c r="M1" s="280"/>
      <c r="N1" s="280"/>
    </row>
    <row r="2" spans="2:14" ht="22.5" customHeight="1">
      <c r="L2" s="280"/>
      <c r="M2" s="280"/>
      <c r="N2" s="280"/>
    </row>
    <row r="4" spans="2:14" ht="15">
      <c r="B4" s="2" t="s">
        <v>148</v>
      </c>
    </row>
    <row r="5" spans="2:14" ht="15">
      <c r="B5" s="3" t="s">
        <v>112</v>
      </c>
    </row>
    <row r="6" spans="2:14" ht="16.5" customHeight="1">
      <c r="B6" s="163" t="s">
        <v>155</v>
      </c>
    </row>
    <row r="7" spans="2:14" ht="21" customHeight="1">
      <c r="B7" s="163" t="s">
        <v>74</v>
      </c>
      <c r="M7" s="162" t="s">
        <v>57</v>
      </c>
    </row>
    <row r="8" spans="2:14" ht="16.5" customHeight="1">
      <c r="B8" s="3"/>
      <c r="M8" s="162"/>
    </row>
    <row r="10" spans="2:14" ht="21" customHeight="1">
      <c r="B10" s="294" t="s">
        <v>59</v>
      </c>
      <c r="C10" s="236"/>
      <c r="D10" s="297" t="s">
        <v>90</v>
      </c>
      <c r="E10" s="298"/>
      <c r="F10" s="298"/>
      <c r="G10" s="299"/>
      <c r="H10" s="300" t="s">
        <v>95</v>
      </c>
      <c r="I10" s="298"/>
      <c r="J10" s="298"/>
      <c r="K10" s="298"/>
      <c r="L10" s="298"/>
      <c r="M10" s="285" t="s">
        <v>35</v>
      </c>
      <c r="N10" s="286"/>
    </row>
    <row r="11" spans="2:14" ht="24" customHeight="1">
      <c r="B11" s="295"/>
      <c r="C11" s="236"/>
      <c r="D11" s="288" t="s">
        <v>45</v>
      </c>
      <c r="E11" s="283" t="s">
        <v>46</v>
      </c>
      <c r="F11" s="281" t="s">
        <v>36</v>
      </c>
      <c r="G11" s="290"/>
      <c r="H11" s="291" t="s">
        <v>37</v>
      </c>
      <c r="I11" s="281" t="s">
        <v>38</v>
      </c>
      <c r="J11" s="283" t="s">
        <v>47</v>
      </c>
      <c r="K11" s="281" t="s">
        <v>38</v>
      </c>
      <c r="L11" s="283" t="s">
        <v>39</v>
      </c>
      <c r="M11" s="283"/>
      <c r="N11" s="287"/>
    </row>
    <row r="12" spans="2:14" ht="30.75" customHeight="1">
      <c r="B12" s="296"/>
      <c r="C12" s="236"/>
      <c r="D12" s="289"/>
      <c r="E12" s="284"/>
      <c r="F12" s="237" t="s">
        <v>40</v>
      </c>
      <c r="G12" s="238" t="s">
        <v>38</v>
      </c>
      <c r="H12" s="292"/>
      <c r="I12" s="282"/>
      <c r="J12" s="284"/>
      <c r="K12" s="282"/>
      <c r="L12" s="284"/>
      <c r="M12" s="237" t="s">
        <v>40</v>
      </c>
      <c r="N12" s="238" t="s">
        <v>38</v>
      </c>
    </row>
    <row r="13" spans="2:14" ht="14.25">
      <c r="B13" s="4"/>
      <c r="C13" s="4"/>
      <c r="D13" s="4"/>
      <c r="E13" s="4"/>
      <c r="F13" s="4"/>
      <c r="G13" s="4"/>
      <c r="H13" s="4"/>
      <c r="I13" s="4"/>
      <c r="J13" s="4"/>
      <c r="K13" s="4"/>
      <c r="L13" s="4"/>
      <c r="M13" s="4"/>
      <c r="N13" s="4"/>
    </row>
    <row r="14" spans="2:14" ht="36.75" customHeight="1">
      <c r="B14" s="107" t="s">
        <v>111</v>
      </c>
      <c r="C14" s="5"/>
      <c r="D14" s="108">
        <v>28826651</v>
      </c>
      <c r="E14" s="109">
        <v>28345902.5</v>
      </c>
      <c r="F14" s="112">
        <f>+E14-D14</f>
        <v>-480748.5</v>
      </c>
      <c r="G14" s="6">
        <f>IF(D14=0,"n.a.",((E14/D14)-1)*100)</f>
        <v>-1.6677223448537282</v>
      </c>
      <c r="H14" s="110">
        <v>19132539.600000001</v>
      </c>
      <c r="I14" s="8">
        <f>IF(L14=0, "n.a.",H14/L14)</f>
        <v>1</v>
      </c>
      <c r="J14" s="7">
        <v>0</v>
      </c>
      <c r="K14" s="9">
        <f>IF(L14=0,"n.a.",J14/L14)</f>
        <v>0</v>
      </c>
      <c r="L14" s="160">
        <f>+H14+J14</f>
        <v>19132539.600000001</v>
      </c>
      <c r="M14" s="7">
        <f>E14-L14</f>
        <v>9213362.8999999985</v>
      </c>
      <c r="N14" s="10">
        <f>IF(L14=0,"n.a.",((E14/L14)-1)*100)</f>
        <v>48.15546233078225</v>
      </c>
    </row>
    <row r="15" spans="2:14" ht="36.75" customHeight="1">
      <c r="B15" s="301"/>
      <c r="C15" s="301"/>
      <c r="D15" s="301"/>
      <c r="E15" s="301"/>
      <c r="F15" s="301"/>
      <c r="G15" s="301"/>
      <c r="H15" s="301"/>
      <c r="I15" s="301"/>
      <c r="J15" s="301"/>
      <c r="K15" s="301"/>
      <c r="L15" s="301"/>
      <c r="M15" s="301"/>
      <c r="N15" s="301"/>
    </row>
    <row r="16" spans="2:14" ht="48.75" customHeight="1">
      <c r="B16" s="11"/>
      <c r="C16" s="4"/>
      <c r="D16" s="12"/>
      <c r="E16" s="12"/>
      <c r="F16" s="12"/>
      <c r="G16" s="13"/>
      <c r="H16" s="114"/>
      <c r="I16" s="15"/>
      <c r="J16" s="14"/>
      <c r="K16" s="15"/>
      <c r="L16" s="14"/>
      <c r="M16" s="14"/>
      <c r="N16" s="15"/>
    </row>
    <row r="17" spans="2:16" ht="25.5" customHeight="1">
      <c r="B17" s="11"/>
      <c r="C17" s="4"/>
      <c r="D17" s="12"/>
      <c r="E17" s="12"/>
      <c r="F17" s="12"/>
      <c r="G17" s="114"/>
      <c r="H17" s="115"/>
      <c r="I17" s="15"/>
      <c r="J17" s="14"/>
      <c r="K17" s="15"/>
      <c r="L17" s="14"/>
      <c r="M17" s="14"/>
      <c r="N17" s="15"/>
    </row>
    <row r="18" spans="2:16">
      <c r="G18" s="115"/>
      <c r="H18" s="114"/>
      <c r="O18" s="16"/>
      <c r="P18" s="16"/>
    </row>
    <row r="19" spans="2:16" ht="17.25" customHeight="1">
      <c r="G19" s="293"/>
      <c r="H19" s="293"/>
      <c r="I19" s="293"/>
    </row>
    <row r="20" spans="2:16" ht="27.75" customHeight="1">
      <c r="G20" s="293"/>
      <c r="H20" s="293"/>
      <c r="I20" s="293"/>
    </row>
    <row r="21" spans="2:16" ht="26.25" customHeight="1">
      <c r="G21" s="116"/>
    </row>
    <row r="22" spans="2:16">
      <c r="M22" s="85"/>
    </row>
    <row r="23" spans="2:16">
      <c r="M23" s="85"/>
    </row>
    <row r="24" spans="2:16">
      <c r="M24" s="254"/>
    </row>
    <row r="25" spans="2:16">
      <c r="E25" s="1" t="s">
        <v>124</v>
      </c>
    </row>
    <row r="27" spans="2:16">
      <c r="K27" s="1" t="s">
        <v>124</v>
      </c>
    </row>
  </sheetData>
  <mergeCells count="16">
    <mergeCell ref="G19:I19"/>
    <mergeCell ref="G20:I20"/>
    <mergeCell ref="B10:B12"/>
    <mergeCell ref="D10:G10"/>
    <mergeCell ref="H10:L10"/>
    <mergeCell ref="B15:N15"/>
    <mergeCell ref="L1:N2"/>
    <mergeCell ref="K11:K12"/>
    <mergeCell ref="L11:L12"/>
    <mergeCell ref="M10:N11"/>
    <mergeCell ref="D11:D12"/>
    <mergeCell ref="E11:E12"/>
    <mergeCell ref="F11:G11"/>
    <mergeCell ref="H11:H12"/>
    <mergeCell ref="I11:I12"/>
    <mergeCell ref="J11:J12"/>
  </mergeCells>
  <phoneticPr fontId="0" type="noConversion"/>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L62"/>
  <sheetViews>
    <sheetView showGridLines="0" view="pageBreakPreview" topLeftCell="H29" zoomScale="75" zoomScaleNormal="75" zoomScaleSheetLayoutView="75" workbookViewId="0">
      <selection activeCell="L17" sqref="L17"/>
    </sheetView>
  </sheetViews>
  <sheetFormatPr baseColWidth="10" defaultRowHeight="11.25"/>
  <cols>
    <col min="1" max="1" width="5.42578125" style="59" customWidth="1"/>
    <col min="2" max="2" width="5" style="59" customWidth="1"/>
    <col min="3" max="3" width="13.28515625" style="59" customWidth="1"/>
    <col min="4" max="4" width="17" style="59" customWidth="1"/>
    <col min="5" max="5" width="23" style="59" customWidth="1"/>
    <col min="6" max="6" width="5.140625" style="59" customWidth="1"/>
    <col min="7" max="7" width="23.5703125" style="59" customWidth="1"/>
    <col min="8" max="8" width="112.85546875" style="60" customWidth="1"/>
    <col min="9" max="9" width="59.5703125" style="60" customWidth="1"/>
    <col min="10" max="12" width="14.42578125" style="59" bestFit="1" customWidth="1"/>
    <col min="13" max="16384" width="11.42578125" style="59"/>
  </cols>
  <sheetData>
    <row r="3" spans="2:9" ht="25.5" customHeight="1"/>
    <row r="4" spans="2:9" s="54" customFormat="1" ht="25.5">
      <c r="B4" s="164" t="s">
        <v>150</v>
      </c>
      <c r="H4" s="55"/>
      <c r="I4" s="55"/>
    </row>
    <row r="5" spans="2:9" s="56" customFormat="1" ht="19.5">
      <c r="B5" s="163" t="s">
        <v>72</v>
      </c>
      <c r="E5" s="3" t="s">
        <v>113</v>
      </c>
      <c r="H5" s="57"/>
      <c r="I5" s="57"/>
    </row>
    <row r="6" spans="2:9" s="56" customFormat="1" ht="24" customHeight="1">
      <c r="B6" s="163" t="s">
        <v>27</v>
      </c>
      <c r="H6" s="57"/>
      <c r="I6" s="57"/>
    </row>
    <row r="7" spans="2:9" s="56" customFormat="1" ht="19.5">
      <c r="B7" s="163" t="s">
        <v>28</v>
      </c>
      <c r="H7" s="57"/>
      <c r="I7" s="57"/>
    </row>
    <row r="8" spans="2:9" s="56" customFormat="1" ht="15">
      <c r="B8" s="58"/>
      <c r="H8" s="57"/>
      <c r="I8" s="57"/>
    </row>
    <row r="9" spans="2:9" s="56" customFormat="1" ht="24.75">
      <c r="B9" s="163" t="s">
        <v>156</v>
      </c>
      <c r="H9" s="57"/>
      <c r="I9" s="55" t="s">
        <v>58</v>
      </c>
    </row>
    <row r="10" spans="2:9" s="56" customFormat="1" ht="12" thickBot="1">
      <c r="H10" s="57"/>
      <c r="I10" s="57"/>
    </row>
    <row r="11" spans="2:9" ht="21" customHeight="1" thickTop="1">
      <c r="B11" s="308"/>
      <c r="C11" s="308" t="s">
        <v>29</v>
      </c>
      <c r="D11" s="324" t="s">
        <v>121</v>
      </c>
      <c r="E11" s="324"/>
      <c r="F11" s="319" t="s">
        <v>127</v>
      </c>
      <c r="G11" s="319"/>
      <c r="H11" s="308" t="s">
        <v>71</v>
      </c>
      <c r="I11" s="308"/>
    </row>
    <row r="12" spans="2:9" ht="15.75" customHeight="1">
      <c r="B12" s="309"/>
      <c r="C12" s="309"/>
      <c r="D12" s="325" t="s">
        <v>154</v>
      </c>
      <c r="E12" s="325"/>
      <c r="F12" s="320" t="s">
        <v>48</v>
      </c>
      <c r="G12" s="249" t="s">
        <v>49</v>
      </c>
      <c r="H12" s="309"/>
      <c r="I12" s="309"/>
    </row>
    <row r="13" spans="2:9" ht="12" customHeight="1" thickBot="1">
      <c r="B13" s="310"/>
      <c r="C13" s="310"/>
      <c r="D13" s="326"/>
      <c r="E13" s="326"/>
      <c r="F13" s="321"/>
      <c r="G13" s="250" t="s">
        <v>63</v>
      </c>
      <c r="H13" s="310"/>
      <c r="I13" s="310"/>
    </row>
    <row r="14" spans="2:9" ht="6" customHeight="1" thickTop="1" thickBot="1">
      <c r="C14" s="60"/>
      <c r="D14" s="60"/>
      <c r="E14" s="60"/>
      <c r="F14" s="60"/>
      <c r="G14" s="60"/>
    </row>
    <row r="15" spans="2:9" s="64" customFormat="1" ht="42" customHeight="1" thickTop="1">
      <c r="B15" s="327" t="s">
        <v>13</v>
      </c>
      <c r="C15" s="311" t="s">
        <v>53</v>
      </c>
      <c r="D15" s="61" t="s">
        <v>70</v>
      </c>
      <c r="E15" s="169">
        <v>26962180</v>
      </c>
      <c r="F15" s="323" t="s">
        <v>50</v>
      </c>
      <c r="G15" s="176">
        <f>+E16-E15</f>
        <v>-919870.94000000134</v>
      </c>
      <c r="H15" s="302" t="s">
        <v>157</v>
      </c>
      <c r="I15" s="303"/>
    </row>
    <row r="16" spans="2:9" s="64" customFormat="1" ht="20.25" customHeight="1" thickBot="1">
      <c r="B16" s="328"/>
      <c r="C16" s="312"/>
      <c r="D16" s="65" t="s">
        <v>151</v>
      </c>
      <c r="E16" s="170">
        <v>26042309.059999999</v>
      </c>
      <c r="F16" s="318"/>
      <c r="G16" s="177">
        <f>IF(E15=0,"n.a.",(E16/E15-1)*100)</f>
        <v>-3.4117083262555248</v>
      </c>
      <c r="H16" s="304"/>
      <c r="I16" s="305"/>
    </row>
    <row r="17" spans="2:12" s="64" customFormat="1" ht="51" customHeight="1" thickTop="1">
      <c r="B17" s="328"/>
      <c r="C17" s="312"/>
      <c r="D17" s="68" t="s">
        <v>126</v>
      </c>
      <c r="E17" s="171">
        <v>26792092.260000002</v>
      </c>
      <c r="F17" s="306" t="s">
        <v>122</v>
      </c>
      <c r="G17" s="178">
        <f>+E18-E17</f>
        <v>-749783.20000000298</v>
      </c>
      <c r="H17" s="302" t="s">
        <v>158</v>
      </c>
      <c r="I17" s="314"/>
    </row>
    <row r="18" spans="2:12" s="64" customFormat="1" ht="53.25" customHeight="1" thickBot="1">
      <c r="B18" s="328"/>
      <c r="C18" s="313"/>
      <c r="D18" s="71" t="s">
        <v>151</v>
      </c>
      <c r="E18" s="172">
        <v>26042309.059999999</v>
      </c>
      <c r="F18" s="322"/>
      <c r="G18" s="179">
        <f>IF(E17=0,"n..a",(E18/E17-1)*100)</f>
        <v>-2.7985242538128063</v>
      </c>
      <c r="H18" s="315"/>
      <c r="I18" s="316"/>
    </row>
    <row r="19" spans="2:12" s="64" customFormat="1" ht="37.5" customHeight="1" thickTop="1">
      <c r="B19" s="328"/>
      <c r="C19" s="312" t="s">
        <v>123</v>
      </c>
      <c r="D19" s="61" t="s">
        <v>70</v>
      </c>
      <c r="E19" s="171">
        <v>94890</v>
      </c>
      <c r="F19" s="317" t="s">
        <v>50</v>
      </c>
      <c r="G19" s="180">
        <f>+E20-E19</f>
        <v>1195980.19</v>
      </c>
      <c r="H19" s="302" t="s">
        <v>159</v>
      </c>
      <c r="I19" s="303"/>
      <c r="J19" s="159">
        <f>137870.19-94890</f>
        <v>42980.19</v>
      </c>
      <c r="K19" s="159"/>
      <c r="L19" s="202"/>
    </row>
    <row r="20" spans="2:12" s="64" customFormat="1" ht="29.25" customHeight="1" thickBot="1">
      <c r="B20" s="328"/>
      <c r="C20" s="312"/>
      <c r="D20" s="65" t="s">
        <v>151</v>
      </c>
      <c r="E20" s="172">
        <v>1290870.19</v>
      </c>
      <c r="F20" s="318"/>
      <c r="G20" s="177">
        <f>IF(E19=0,"n.a.",(E20/E19-1)*100)</f>
        <v>1260.3859100010538</v>
      </c>
      <c r="H20" s="304"/>
      <c r="I20" s="305"/>
      <c r="J20" s="159">
        <v>1153000</v>
      </c>
      <c r="K20" s="159">
        <f>+J19+J20</f>
        <v>1195980.19</v>
      </c>
    </row>
    <row r="21" spans="2:12" s="64" customFormat="1" ht="53.25" customHeight="1" thickTop="1">
      <c r="B21" s="328"/>
      <c r="C21" s="312"/>
      <c r="D21" s="68" t="s">
        <v>126</v>
      </c>
      <c r="E21" s="171">
        <v>180597.62</v>
      </c>
      <c r="F21" s="306" t="s">
        <v>122</v>
      </c>
      <c r="G21" s="178">
        <f>+E22-E21</f>
        <v>1110272.5699999998</v>
      </c>
      <c r="H21" s="302" t="s">
        <v>160</v>
      </c>
      <c r="I21" s="303"/>
      <c r="J21" s="159">
        <f>137870.19-109695.05</f>
        <v>28175.14</v>
      </c>
      <c r="K21" s="159">
        <v>-70902.570000000007</v>
      </c>
    </row>
    <row r="22" spans="2:12" s="64" customFormat="1" ht="36" customHeight="1" thickBot="1">
      <c r="B22" s="328"/>
      <c r="C22" s="312"/>
      <c r="D22" s="71" t="s">
        <v>151</v>
      </c>
      <c r="E22" s="173">
        <v>1290870.19</v>
      </c>
      <c r="F22" s="307"/>
      <c r="G22" s="181">
        <f>IF(E21=0,"n.a.",(E22/E21-1)*100)</f>
        <v>614.77696660675815</v>
      </c>
      <c r="H22" s="304"/>
      <c r="I22" s="305"/>
      <c r="J22" s="159">
        <v>1153000</v>
      </c>
      <c r="K22" s="159">
        <f>+J21+K21+J22</f>
        <v>1110272.57</v>
      </c>
    </row>
    <row r="23" spans="2:12" s="64" customFormat="1" ht="37.5" customHeight="1" thickTop="1">
      <c r="B23" s="328"/>
      <c r="C23" s="311" t="s">
        <v>125</v>
      </c>
      <c r="D23" s="61" t="s">
        <v>70</v>
      </c>
      <c r="E23" s="171">
        <v>616581</v>
      </c>
      <c r="F23" s="317" t="s">
        <v>50</v>
      </c>
      <c r="G23" s="178">
        <f>+E24-E23</f>
        <v>396142.25</v>
      </c>
      <c r="H23" s="302" t="s">
        <v>161</v>
      </c>
      <c r="I23" s="303"/>
      <c r="J23" s="159"/>
      <c r="K23" s="159"/>
    </row>
    <row r="24" spans="2:12" s="64" customFormat="1" ht="29.25" customHeight="1" thickBot="1">
      <c r="B24" s="328"/>
      <c r="C24" s="312"/>
      <c r="D24" s="65" t="s">
        <v>151</v>
      </c>
      <c r="E24" s="172">
        <v>1012723.25</v>
      </c>
      <c r="F24" s="318"/>
      <c r="G24" s="177">
        <f>IF(E23=0,"n.a.",(E24/E23-1)*100)</f>
        <v>64.248209075531037</v>
      </c>
      <c r="H24" s="304"/>
      <c r="I24" s="305"/>
      <c r="J24" s="159"/>
      <c r="K24" s="159"/>
    </row>
    <row r="25" spans="2:12" s="64" customFormat="1" ht="53.25" customHeight="1" thickTop="1">
      <c r="B25" s="328"/>
      <c r="C25" s="312"/>
      <c r="D25" s="68" t="s">
        <v>126</v>
      </c>
      <c r="E25" s="171">
        <v>769514.81</v>
      </c>
      <c r="F25" s="306" t="s">
        <v>122</v>
      </c>
      <c r="G25" s="178">
        <f>+E26-E25</f>
        <v>243208.43999999994</v>
      </c>
      <c r="H25" s="302" t="s">
        <v>162</v>
      </c>
      <c r="I25" s="303"/>
      <c r="J25" s="159"/>
      <c r="K25" s="159"/>
    </row>
    <row r="26" spans="2:12" s="64" customFormat="1" ht="36" customHeight="1" thickBot="1">
      <c r="B26" s="328"/>
      <c r="C26" s="330"/>
      <c r="D26" s="71" t="s">
        <v>151</v>
      </c>
      <c r="E26" s="173">
        <v>1012723.25</v>
      </c>
      <c r="F26" s="307"/>
      <c r="G26" s="181">
        <f>IF(E25=0,"n.a.",(E26/E25-1)*100)</f>
        <v>31.605426801337309</v>
      </c>
      <c r="H26" s="304"/>
      <c r="I26" s="305"/>
      <c r="J26" s="159"/>
      <c r="K26" s="159"/>
    </row>
    <row r="27" spans="2:12" s="64" customFormat="1" ht="29.25" customHeight="1" thickTop="1">
      <c r="B27" s="327" t="s">
        <v>41</v>
      </c>
      <c r="C27" s="333" t="s">
        <v>54</v>
      </c>
      <c r="D27" s="61" t="s">
        <v>70</v>
      </c>
      <c r="E27" s="171">
        <v>11398390</v>
      </c>
      <c r="F27" s="335" t="s">
        <v>50</v>
      </c>
      <c r="G27" s="178">
        <f t="shared" ref="G27" si="0">+E28-E27</f>
        <v>0</v>
      </c>
      <c r="H27" s="302" t="s">
        <v>153</v>
      </c>
      <c r="I27" s="303"/>
    </row>
    <row r="28" spans="2:12" s="64" customFormat="1" ht="29.25" customHeight="1" thickBot="1">
      <c r="B28" s="328"/>
      <c r="C28" s="312"/>
      <c r="D28" s="65" t="s">
        <v>151</v>
      </c>
      <c r="E28" s="173">
        <v>11398390</v>
      </c>
      <c r="F28" s="318"/>
      <c r="G28" s="181">
        <f t="shared" ref="G28" si="1">IF(E27=0,"n.a.",(E28/E27-1)*100)</f>
        <v>0</v>
      </c>
      <c r="H28" s="304"/>
      <c r="I28" s="305"/>
    </row>
    <row r="29" spans="2:12" s="64" customFormat="1" ht="50.25" customHeight="1" thickTop="1">
      <c r="B29" s="328"/>
      <c r="C29" s="312"/>
      <c r="D29" s="68" t="s">
        <v>126</v>
      </c>
      <c r="E29" s="171">
        <v>11002665</v>
      </c>
      <c r="F29" s="306" t="s">
        <v>122</v>
      </c>
      <c r="G29" s="178">
        <f t="shared" ref="G29" si="2">+E30-E29</f>
        <v>395725</v>
      </c>
      <c r="H29" s="302" t="s">
        <v>163</v>
      </c>
      <c r="I29" s="303"/>
    </row>
    <row r="30" spans="2:12" s="64" customFormat="1" ht="47.25" customHeight="1" thickBot="1">
      <c r="B30" s="328"/>
      <c r="C30" s="330"/>
      <c r="D30" s="71" t="s">
        <v>151</v>
      </c>
      <c r="E30" s="173">
        <v>11398390</v>
      </c>
      <c r="F30" s="307"/>
      <c r="G30" s="181">
        <f t="shared" ref="G30" si="3">IF(E29=0,"n.a.",(E30/E29-1)*100)</f>
        <v>3.5966286349716103</v>
      </c>
      <c r="H30" s="304"/>
      <c r="I30" s="305"/>
    </row>
    <row r="31" spans="2:12" s="64" customFormat="1" ht="29.25" customHeight="1" thickTop="1">
      <c r="B31" s="328"/>
      <c r="C31" s="333" t="s">
        <v>55</v>
      </c>
      <c r="D31" s="61" t="s">
        <v>70</v>
      </c>
      <c r="E31" s="174"/>
      <c r="F31" s="335" t="s">
        <v>50</v>
      </c>
      <c r="G31" s="182">
        <f>+E32-E31</f>
        <v>0</v>
      </c>
      <c r="H31" s="350"/>
      <c r="I31" s="348"/>
    </row>
    <row r="32" spans="2:12" s="64" customFormat="1" ht="32.25" customHeight="1">
      <c r="B32" s="328"/>
      <c r="C32" s="312"/>
      <c r="D32" s="65" t="s">
        <v>151</v>
      </c>
      <c r="E32" s="170"/>
      <c r="F32" s="318"/>
      <c r="G32" s="177" t="str">
        <f>IF(E31=0,"n.a.",(E32/E31-1)*100)</f>
        <v>n.a.</v>
      </c>
      <c r="H32" s="351"/>
      <c r="I32" s="349"/>
    </row>
    <row r="33" spans="2:9" s="64" customFormat="1" ht="46.5" customHeight="1">
      <c r="B33" s="328"/>
      <c r="C33" s="312"/>
      <c r="D33" s="68" t="s">
        <v>126</v>
      </c>
      <c r="E33" s="171"/>
      <c r="F33" s="306" t="s">
        <v>122</v>
      </c>
      <c r="G33" s="183">
        <f>+E34-E33</f>
        <v>0</v>
      </c>
      <c r="H33" s="352"/>
      <c r="I33" s="344"/>
    </row>
    <row r="34" spans="2:9" s="64" customFormat="1" ht="52.5" customHeight="1" thickBot="1">
      <c r="B34" s="329"/>
      <c r="C34" s="330"/>
      <c r="D34" s="71" t="s">
        <v>151</v>
      </c>
      <c r="E34" s="175"/>
      <c r="F34" s="307"/>
      <c r="G34" s="184" t="str">
        <f>IF(E33=0,"n.a.",(E34/E33-1)*100)</f>
        <v>n.a.</v>
      </c>
      <c r="H34" s="353"/>
      <c r="I34" s="345"/>
    </row>
    <row r="35" spans="2:9" s="64" customFormat="1" ht="29.25" hidden="1" customHeight="1" thickTop="1">
      <c r="B35" s="328" t="s">
        <v>42</v>
      </c>
      <c r="C35" s="312" t="s">
        <v>54</v>
      </c>
      <c r="D35" s="61" t="s">
        <v>70</v>
      </c>
      <c r="E35" s="74"/>
      <c r="F35" s="336" t="s">
        <v>50</v>
      </c>
      <c r="G35" s="75">
        <f>+E36-E35</f>
        <v>0</v>
      </c>
      <c r="H35" s="340"/>
      <c r="I35" s="346"/>
    </row>
    <row r="36" spans="2:9" s="64" customFormat="1" ht="29.25" hidden="1" customHeight="1">
      <c r="B36" s="328"/>
      <c r="C36" s="312"/>
      <c r="D36" s="65" t="s">
        <v>120</v>
      </c>
      <c r="E36" s="165"/>
      <c r="F36" s="337"/>
      <c r="G36" s="77" t="str">
        <f>IF(E35=0,"n.a.",(E36/E35-1)*100)</f>
        <v>n.a.</v>
      </c>
      <c r="H36" s="341"/>
      <c r="I36" s="347"/>
    </row>
    <row r="37" spans="2:9" s="64" customFormat="1" ht="43.5" hidden="1" customHeight="1">
      <c r="B37" s="328"/>
      <c r="C37" s="312"/>
      <c r="D37" s="68" t="s">
        <v>103</v>
      </c>
      <c r="E37" s="69"/>
      <c r="F37" s="342" t="s">
        <v>122</v>
      </c>
      <c r="G37" s="70">
        <f>+E38-E37</f>
        <v>0</v>
      </c>
      <c r="H37" s="331"/>
      <c r="I37" s="338"/>
    </row>
    <row r="38" spans="2:9" s="64" customFormat="1" ht="43.5" hidden="1" customHeight="1" thickBot="1">
      <c r="B38" s="329"/>
      <c r="C38" s="334"/>
      <c r="D38" s="71" t="s">
        <v>120</v>
      </c>
      <c r="E38" s="80"/>
      <c r="F38" s="343"/>
      <c r="G38" s="81" t="str">
        <f>IF(E37=0,"n.a.",(E38/E37-1)*100)</f>
        <v>n.a.</v>
      </c>
      <c r="H38" s="332"/>
      <c r="I38" s="339"/>
    </row>
    <row r="39" spans="2:9" ht="15" thickTop="1">
      <c r="C39" s="82" t="s">
        <v>51</v>
      </c>
    </row>
    <row r="40" spans="2:9" ht="14.25">
      <c r="C40" s="82" t="s">
        <v>44</v>
      </c>
    </row>
    <row r="41" spans="2:9" hidden="1"/>
    <row r="42" spans="2:9" hidden="1"/>
    <row r="43" spans="2:9" ht="9" hidden="1" customHeight="1" thickBot="1">
      <c r="C43" s="60"/>
      <c r="D43" s="60"/>
      <c r="E43" s="60"/>
      <c r="F43" s="60"/>
      <c r="G43" s="60"/>
    </row>
    <row r="44" spans="2:9" s="64" customFormat="1" ht="36" hidden="1" customHeight="1" thickTop="1">
      <c r="B44" s="327" t="s">
        <v>23</v>
      </c>
      <c r="C44" s="356" t="s">
        <v>52</v>
      </c>
      <c r="D44" s="61" t="s">
        <v>70</v>
      </c>
      <c r="E44" s="62"/>
      <c r="F44" s="357" t="s">
        <v>50</v>
      </c>
      <c r="G44" s="63">
        <f>+E45-E44</f>
        <v>0</v>
      </c>
      <c r="H44" s="358"/>
      <c r="I44" s="364"/>
    </row>
    <row r="45" spans="2:9" s="64" customFormat="1" ht="36" hidden="1" customHeight="1">
      <c r="B45" s="328"/>
      <c r="C45" s="312"/>
      <c r="D45" s="65" t="s">
        <v>103</v>
      </c>
      <c r="E45" s="66"/>
      <c r="F45" s="337"/>
      <c r="G45" s="67" t="str">
        <f>IF(E44=0,"n.a.",(E45/E44-1)*100)</f>
        <v>n.a.</v>
      </c>
      <c r="H45" s="341"/>
      <c r="I45" s="347"/>
    </row>
    <row r="46" spans="2:9" s="64" customFormat="1" ht="36" hidden="1" customHeight="1">
      <c r="B46" s="328"/>
      <c r="C46" s="312"/>
      <c r="D46" s="68" t="s">
        <v>69</v>
      </c>
      <c r="E46" s="69"/>
      <c r="F46" s="359">
        <v>2013</v>
      </c>
      <c r="G46" s="70">
        <f>+E47-E46</f>
        <v>0</v>
      </c>
      <c r="H46" s="331"/>
      <c r="I46" s="338"/>
    </row>
    <row r="47" spans="2:9" s="64" customFormat="1" ht="36" hidden="1" customHeight="1" thickBot="1">
      <c r="B47" s="328"/>
      <c r="C47" s="330"/>
      <c r="D47" s="71" t="s">
        <v>103</v>
      </c>
      <c r="E47" s="72"/>
      <c r="F47" s="360"/>
      <c r="G47" s="73" t="str">
        <f>IF(E46=0,"n.a.",(E47/E46-1)*100)</f>
        <v>n.a.</v>
      </c>
      <c r="H47" s="361"/>
      <c r="I47" s="354"/>
    </row>
    <row r="48" spans="2:9" s="64" customFormat="1" ht="29.25" hidden="1" customHeight="1" thickTop="1">
      <c r="B48" s="328"/>
      <c r="C48" s="333" t="s">
        <v>53</v>
      </c>
      <c r="D48" s="61" t="s">
        <v>70</v>
      </c>
      <c r="E48" s="78"/>
      <c r="F48" s="336" t="s">
        <v>50</v>
      </c>
      <c r="G48" s="79">
        <f>+E49-E48</f>
        <v>0</v>
      </c>
      <c r="H48" s="362"/>
      <c r="I48" s="355"/>
    </row>
    <row r="49" spans="2:9" s="64" customFormat="1" ht="29.25" hidden="1" customHeight="1">
      <c r="B49" s="328"/>
      <c r="C49" s="312"/>
      <c r="D49" s="65" t="s">
        <v>103</v>
      </c>
      <c r="E49" s="76"/>
      <c r="F49" s="337"/>
      <c r="G49" s="77" t="str">
        <f>IF(E48=0,"n.a.",(E49/E48-1)*100)</f>
        <v>n.a.</v>
      </c>
      <c r="H49" s="341"/>
      <c r="I49" s="347"/>
    </row>
    <row r="50" spans="2:9" s="64" customFormat="1" ht="43.5" hidden="1" customHeight="1">
      <c r="B50" s="328"/>
      <c r="C50" s="312"/>
      <c r="D50" s="68" t="s">
        <v>69</v>
      </c>
      <c r="E50" s="69"/>
      <c r="F50" s="359">
        <v>2013</v>
      </c>
      <c r="G50" s="70">
        <f>+E51-E50</f>
        <v>0</v>
      </c>
      <c r="H50" s="331"/>
      <c r="I50" s="338"/>
    </row>
    <row r="51" spans="2:9" s="64" customFormat="1" ht="43.5" hidden="1" customHeight="1" thickBot="1">
      <c r="B51" s="329"/>
      <c r="C51" s="330"/>
      <c r="D51" s="71" t="s">
        <v>103</v>
      </c>
      <c r="E51" s="72"/>
      <c r="F51" s="363"/>
      <c r="G51" s="73" t="str">
        <f>IF(E50=0,"n.a.",(E51/E50-1)*100)</f>
        <v>n.a.</v>
      </c>
      <c r="H51" s="361"/>
      <c r="I51" s="354"/>
    </row>
    <row r="58" spans="2:9" ht="18" customHeight="1"/>
    <row r="61" spans="2:9" ht="21" customHeight="1"/>
    <row r="62" spans="2:9" ht="23.25" customHeight="1"/>
  </sheetData>
  <mergeCells count="59">
    <mergeCell ref="I50:I51"/>
    <mergeCell ref="I48:I49"/>
    <mergeCell ref="B44:B51"/>
    <mergeCell ref="C44:C47"/>
    <mergeCell ref="F44:F45"/>
    <mergeCell ref="H44:H45"/>
    <mergeCell ref="C48:C51"/>
    <mergeCell ref="F48:F49"/>
    <mergeCell ref="F46:F47"/>
    <mergeCell ref="H46:H47"/>
    <mergeCell ref="H48:H49"/>
    <mergeCell ref="F50:F51"/>
    <mergeCell ref="H50:H51"/>
    <mergeCell ref="I46:I47"/>
    <mergeCell ref="I44:I45"/>
    <mergeCell ref="I37:I38"/>
    <mergeCell ref="H35:H36"/>
    <mergeCell ref="F37:F38"/>
    <mergeCell ref="C27:C30"/>
    <mergeCell ref="H25:I26"/>
    <mergeCell ref="I33:I34"/>
    <mergeCell ref="I35:I36"/>
    <mergeCell ref="I31:I32"/>
    <mergeCell ref="H31:H32"/>
    <mergeCell ref="H33:H34"/>
    <mergeCell ref="H29:I30"/>
    <mergeCell ref="H27:I28"/>
    <mergeCell ref="B27:B34"/>
    <mergeCell ref="C23:C26"/>
    <mergeCell ref="C11:C13"/>
    <mergeCell ref="C19:C22"/>
    <mergeCell ref="H37:H38"/>
    <mergeCell ref="H23:I24"/>
    <mergeCell ref="F33:F34"/>
    <mergeCell ref="B35:B38"/>
    <mergeCell ref="C31:C34"/>
    <mergeCell ref="C35:C38"/>
    <mergeCell ref="F25:F26"/>
    <mergeCell ref="F29:F30"/>
    <mergeCell ref="F31:F32"/>
    <mergeCell ref="F27:F28"/>
    <mergeCell ref="F23:F24"/>
    <mergeCell ref="F35:F36"/>
    <mergeCell ref="H19:I20"/>
    <mergeCell ref="F21:F22"/>
    <mergeCell ref="H21:I22"/>
    <mergeCell ref="B11:B13"/>
    <mergeCell ref="C15:C18"/>
    <mergeCell ref="H15:I16"/>
    <mergeCell ref="H17:I18"/>
    <mergeCell ref="F19:F20"/>
    <mergeCell ref="F11:G11"/>
    <mergeCell ref="F12:F13"/>
    <mergeCell ref="F17:F18"/>
    <mergeCell ref="F15:F16"/>
    <mergeCell ref="D11:E11"/>
    <mergeCell ref="H11:I13"/>
    <mergeCell ref="D12:E13"/>
    <mergeCell ref="B15:B26"/>
  </mergeCells>
  <phoneticPr fontId="4" type="noConversion"/>
  <conditionalFormatting sqref="E48:E50 E44:E46">
    <cfRule type="cellIs" dxfId="10" priority="11" stopIfTrue="1" operator="notEqual">
      <formula>#REF!+#REF!+#REF!+#REF!+#REF!</formula>
    </cfRule>
  </conditionalFormatting>
  <conditionalFormatting sqref="E35:E37">
    <cfRule type="cellIs" dxfId="9" priority="10" stopIfTrue="1" operator="notEqual">
      <formula>#REF!+#REF!+#REF!+#REF!+#REF!</formula>
    </cfRule>
  </conditionalFormatting>
  <conditionalFormatting sqref="E31:E33 E15:E16">
    <cfRule type="cellIs" dxfId="8" priority="9" stopIfTrue="1" operator="notEqual">
      <formula>#REF!+#REF!+#REF!+#REF!+#REF!</formula>
    </cfRule>
  </conditionalFormatting>
  <conditionalFormatting sqref="E17:E18">
    <cfRule type="cellIs" dxfId="7" priority="8" stopIfTrue="1" operator="notEqual">
      <formula>#REF!+#REF!+#REF!+#REF!+#REF!</formula>
    </cfRule>
  </conditionalFormatting>
  <conditionalFormatting sqref="E23">
    <cfRule type="cellIs" dxfId="6" priority="7" stopIfTrue="1" operator="notEqual">
      <formula>#REF!+#REF!+#REF!+#REF!+#REF!</formula>
    </cfRule>
  </conditionalFormatting>
  <conditionalFormatting sqref="E24">
    <cfRule type="cellIs" dxfId="5" priority="6" stopIfTrue="1" operator="notEqual">
      <formula>#REF!+#REF!+#REF!+#REF!+#REF!</formula>
    </cfRule>
  </conditionalFormatting>
  <conditionalFormatting sqref="E25">
    <cfRule type="cellIs" dxfId="4" priority="5" stopIfTrue="1" operator="notEqual">
      <formula>#REF!+#REF!+#REF!+#REF!+#REF!</formula>
    </cfRule>
  </conditionalFormatting>
  <conditionalFormatting sqref="E27 E29">
    <cfRule type="cellIs" dxfId="3" priority="4" stopIfTrue="1" operator="notEqual">
      <formula>#REF!+#REF!+#REF!+#REF!+#REF!</formula>
    </cfRule>
  </conditionalFormatting>
  <conditionalFormatting sqref="E19">
    <cfRule type="cellIs" dxfId="2" priority="3" stopIfTrue="1" operator="notEqual">
      <formula>#REF!+#REF!+#REF!+#REF!+#REF!</formula>
    </cfRule>
  </conditionalFormatting>
  <conditionalFormatting sqref="E20">
    <cfRule type="cellIs" dxfId="1" priority="2" stopIfTrue="1" operator="notEqual">
      <formula>#REF!+#REF!+#REF!+#REF!+#REF!</formula>
    </cfRule>
  </conditionalFormatting>
  <conditionalFormatting sqref="E21">
    <cfRule type="cellIs" dxfId="0" priority="1" stopIfTrue="1" operator="notEqual">
      <formula>#REF!+#REF!+#REF!+#REF!+#REF!</formula>
    </cfRule>
  </conditionalFormatting>
  <printOptions horizontalCentered="1" verticalCentered="1"/>
  <pageMargins left="0" right="0" top="0.19685039370078741" bottom="0.19685039370078741"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zoomScale="70" zoomScaleSheetLayoutView="70" workbookViewId="0">
      <selection activeCell="J27" sqref="J27"/>
    </sheetView>
  </sheetViews>
  <sheetFormatPr baseColWidth="10" defaultRowHeight="12.75"/>
  <cols>
    <col min="1" max="4" width="3" style="212" customWidth="1"/>
    <col min="5" max="5" width="42.7109375" style="212" customWidth="1"/>
    <col min="6" max="8" width="17.7109375" style="212" bestFit="1" customWidth="1"/>
    <col min="9" max="9" width="17.140625" style="212" customWidth="1"/>
    <col min="10" max="10" width="16.7109375" style="212" customWidth="1"/>
    <col min="11" max="11" width="16.85546875" style="212" customWidth="1"/>
    <col min="12" max="13" width="16.5703125" style="212" customWidth="1"/>
    <col min="14" max="15" width="16.7109375" style="212" customWidth="1"/>
    <col min="16" max="16" width="16.85546875" style="212" customWidth="1"/>
    <col min="17" max="17" width="17.5703125" style="212" customWidth="1"/>
    <col min="18" max="18" width="19.28515625" style="212" customWidth="1"/>
    <col min="19" max="19" width="21.28515625" style="212" bestFit="1" customWidth="1"/>
    <col min="20" max="20" width="19.85546875" style="212" bestFit="1" customWidth="1"/>
    <col min="21" max="16384" width="11.42578125" style="212"/>
  </cols>
  <sheetData>
    <row r="3" spans="5:22" s="207" customFormat="1" ht="24">
      <c r="E3" s="203"/>
      <c r="F3" s="204"/>
      <c r="G3" s="204"/>
      <c r="H3" s="205"/>
      <c r="I3" s="205"/>
      <c r="J3" s="205"/>
      <c r="K3" s="205"/>
      <c r="L3" s="205"/>
      <c r="M3" s="205"/>
      <c r="N3" s="205"/>
      <c r="O3" s="205"/>
      <c r="P3" s="206"/>
      <c r="Q3" s="206"/>
      <c r="R3" s="206"/>
      <c r="S3" s="206"/>
      <c r="T3" s="206"/>
      <c r="U3" s="206"/>
      <c r="V3" s="206"/>
    </row>
    <row r="4" spans="5:22" s="207" customFormat="1" ht="24">
      <c r="E4" s="208" t="s">
        <v>132</v>
      </c>
      <c r="F4" s="209"/>
      <c r="G4" s="167"/>
      <c r="H4" s="209"/>
      <c r="I4" s="209"/>
      <c r="J4" s="209"/>
      <c r="K4" s="209"/>
      <c r="L4" s="209"/>
      <c r="M4" s="209"/>
      <c r="N4" s="209"/>
      <c r="O4" s="209"/>
      <c r="P4" s="210"/>
      <c r="Q4" s="210"/>
      <c r="R4" s="210"/>
      <c r="S4" s="206"/>
      <c r="T4" s="206"/>
      <c r="U4" s="206"/>
      <c r="V4" s="206"/>
    </row>
    <row r="5" spans="5:22" s="207" customFormat="1" ht="24">
      <c r="E5" s="211" t="s">
        <v>59</v>
      </c>
      <c r="F5" s="209"/>
      <c r="G5" s="209"/>
      <c r="H5" s="209"/>
      <c r="I5" s="209"/>
      <c r="J5" s="209"/>
      <c r="K5" s="209"/>
      <c r="L5" s="209"/>
      <c r="M5" s="209"/>
      <c r="N5" s="209"/>
      <c r="O5" s="209"/>
      <c r="S5" s="206"/>
      <c r="T5" s="206"/>
      <c r="U5" s="206"/>
      <c r="V5" s="206"/>
    </row>
    <row r="6" spans="5:22" s="207" customFormat="1" ht="24">
      <c r="E6" s="211" t="s">
        <v>75</v>
      </c>
      <c r="F6" s="209"/>
      <c r="G6" s="209"/>
      <c r="H6" s="209"/>
      <c r="I6" s="209"/>
      <c r="J6" s="209"/>
      <c r="K6" s="209"/>
      <c r="L6" s="209"/>
      <c r="M6" s="209"/>
      <c r="N6" s="209"/>
      <c r="O6" s="209"/>
      <c r="S6" s="206"/>
      <c r="T6" s="206"/>
      <c r="U6" s="206"/>
      <c r="V6" s="206"/>
    </row>
    <row r="7" spans="5:22" ht="15.75" customHeight="1">
      <c r="E7" s="211" t="s">
        <v>76</v>
      </c>
      <c r="F7" s="209"/>
      <c r="G7" s="209"/>
      <c r="H7" s="209"/>
      <c r="I7" s="209"/>
      <c r="J7" s="209"/>
      <c r="K7" s="209"/>
      <c r="L7" s="209"/>
      <c r="M7" s="209"/>
      <c r="N7" s="209"/>
      <c r="O7" s="209"/>
      <c r="P7" s="209"/>
      <c r="Q7" s="209"/>
      <c r="R7" s="209"/>
      <c r="S7" s="206"/>
      <c r="T7" s="206"/>
      <c r="U7" s="206"/>
      <c r="V7" s="206"/>
    </row>
    <row r="8" spans="5:22" ht="15.75" customHeight="1">
      <c r="E8" s="211" t="s">
        <v>133</v>
      </c>
      <c r="F8" s="209"/>
      <c r="G8" s="209"/>
      <c r="H8" s="209"/>
      <c r="I8" s="209"/>
      <c r="J8" s="209"/>
      <c r="K8" s="209"/>
      <c r="L8" s="209"/>
      <c r="M8" s="209"/>
      <c r="N8" s="209"/>
      <c r="O8" s="209"/>
      <c r="P8" s="365" t="s">
        <v>64</v>
      </c>
      <c r="Q8" s="365"/>
      <c r="R8" s="365"/>
      <c r="S8" s="206"/>
      <c r="T8" s="206"/>
      <c r="U8" s="206"/>
      <c r="V8" s="206"/>
    </row>
    <row r="9" spans="5:22" ht="20.25" customHeight="1" thickBot="1">
      <c r="E9" s="166"/>
      <c r="F9" s="209"/>
      <c r="G9" s="209"/>
      <c r="H9" s="209"/>
      <c r="I9" s="209"/>
      <c r="J9" s="209"/>
      <c r="K9" s="209"/>
      <c r="L9" s="209"/>
      <c r="M9" s="209"/>
      <c r="N9" s="209"/>
      <c r="O9" s="209"/>
      <c r="P9" s="365"/>
      <c r="Q9" s="365"/>
      <c r="R9" s="365"/>
      <c r="S9" s="206"/>
      <c r="T9" s="206"/>
      <c r="U9" s="206"/>
      <c r="V9" s="206"/>
    </row>
    <row r="10" spans="5:22" ht="23.25" hidden="1" customHeight="1" thickBot="1">
      <c r="E10" s="166"/>
      <c r="F10" s="209"/>
      <c r="G10" s="209"/>
      <c r="H10" s="213"/>
      <c r="I10" s="209"/>
      <c r="J10" s="209"/>
      <c r="K10" s="209"/>
      <c r="L10" s="209"/>
      <c r="M10" s="209"/>
      <c r="N10" s="209"/>
      <c r="O10" s="209"/>
      <c r="P10" s="209"/>
      <c r="Q10" s="209"/>
      <c r="R10" s="209"/>
      <c r="S10" s="206"/>
      <c r="T10" s="206"/>
      <c r="U10" s="206"/>
      <c r="V10" s="206"/>
    </row>
    <row r="11" spans="5:22" s="48" customFormat="1" ht="24.75" customHeight="1" thickTop="1" thickBot="1">
      <c r="E11" s="214" t="s">
        <v>59</v>
      </c>
      <c r="F11" s="214" t="s">
        <v>0</v>
      </c>
      <c r="G11" s="214" t="s">
        <v>1</v>
      </c>
      <c r="H11" s="214" t="s">
        <v>2</v>
      </c>
      <c r="I11" s="214" t="s">
        <v>3</v>
      </c>
      <c r="J11" s="214" t="s">
        <v>4</v>
      </c>
      <c r="K11" s="214" t="s">
        <v>5</v>
      </c>
      <c r="L11" s="214" t="s">
        <v>6</v>
      </c>
      <c r="M11" s="214" t="s">
        <v>7</v>
      </c>
      <c r="N11" s="214" t="s">
        <v>8</v>
      </c>
      <c r="O11" s="214" t="s">
        <v>9</v>
      </c>
      <c r="P11" s="214" t="s">
        <v>10</v>
      </c>
      <c r="Q11" s="214" t="s">
        <v>11</v>
      </c>
      <c r="R11" s="214" t="s">
        <v>134</v>
      </c>
      <c r="S11" s="215"/>
      <c r="T11" s="215"/>
      <c r="U11" s="215"/>
      <c r="V11" s="215"/>
    </row>
    <row r="12" spans="5:22" s="48" customFormat="1" ht="29.25" customHeight="1" thickTop="1">
      <c r="E12" s="125" t="s">
        <v>97</v>
      </c>
      <c r="F12" s="126">
        <f t="shared" ref="F12:Q12" si="0">+F13+F48</f>
        <v>4735972</v>
      </c>
      <c r="G12" s="126">
        <f t="shared" si="0"/>
        <v>6776716</v>
      </c>
      <c r="H12" s="126">
        <f t="shared" si="0"/>
        <v>7151352</v>
      </c>
      <c r="I12" s="126">
        <f t="shared" si="0"/>
        <v>6686400</v>
      </c>
      <c r="J12" s="126">
        <f t="shared" si="0"/>
        <v>6676470</v>
      </c>
      <c r="K12" s="126">
        <f t="shared" si="0"/>
        <v>7045131</v>
      </c>
      <c r="L12" s="126">
        <f t="shared" si="0"/>
        <v>6993131</v>
      </c>
      <c r="M12" s="126">
        <f t="shared" si="0"/>
        <v>6639471</v>
      </c>
      <c r="N12" s="126">
        <f t="shared" si="0"/>
        <v>6826005</v>
      </c>
      <c r="O12" s="126">
        <f t="shared" si="0"/>
        <v>6699652</v>
      </c>
      <c r="P12" s="126">
        <f t="shared" si="0"/>
        <v>6355619</v>
      </c>
      <c r="Q12" s="126">
        <f t="shared" si="0"/>
        <v>10908538</v>
      </c>
      <c r="R12" s="126">
        <f>SUM(F12:Q12)</f>
        <v>83494457</v>
      </c>
      <c r="S12" s="216"/>
      <c r="T12" s="190"/>
      <c r="U12" s="190"/>
      <c r="V12" s="190"/>
    </row>
    <row r="13" spans="5:22" s="48" customFormat="1" ht="31.5" customHeight="1">
      <c r="E13" s="128" t="s">
        <v>89</v>
      </c>
      <c r="F13" s="129">
        <f t="shared" ref="F13:Q13" si="1">+F14+F38+F45</f>
        <v>4735972</v>
      </c>
      <c r="G13" s="129">
        <f t="shared" si="1"/>
        <v>6776716</v>
      </c>
      <c r="H13" s="129">
        <f t="shared" si="1"/>
        <v>7151352</v>
      </c>
      <c r="I13" s="129">
        <f t="shared" si="1"/>
        <v>6686400</v>
      </c>
      <c r="J13" s="129">
        <f t="shared" si="1"/>
        <v>6676470</v>
      </c>
      <c r="K13" s="129">
        <f t="shared" si="1"/>
        <v>7045131</v>
      </c>
      <c r="L13" s="129">
        <f t="shared" si="1"/>
        <v>6993131</v>
      </c>
      <c r="M13" s="129">
        <f t="shared" si="1"/>
        <v>6639471</v>
      </c>
      <c r="N13" s="129">
        <f t="shared" si="1"/>
        <v>6826005</v>
      </c>
      <c r="O13" s="129">
        <f t="shared" si="1"/>
        <v>6699652</v>
      </c>
      <c r="P13" s="129">
        <f t="shared" si="1"/>
        <v>6355619</v>
      </c>
      <c r="Q13" s="129">
        <f t="shared" si="1"/>
        <v>10908538</v>
      </c>
      <c r="R13" s="129">
        <f>SUM(F13:Q13)</f>
        <v>83494457</v>
      </c>
      <c r="S13" s="217"/>
      <c r="T13" s="190"/>
      <c r="U13" s="190"/>
      <c r="V13" s="190"/>
    </row>
    <row r="14" spans="5:22" s="4" customFormat="1" ht="25.5" customHeight="1">
      <c r="E14" s="130" t="s">
        <v>90</v>
      </c>
      <c r="F14" s="131">
        <f t="shared" ref="F14:Q14" si="2">F16+F18+F23+F26+F30</f>
        <v>4735972</v>
      </c>
      <c r="G14" s="131">
        <f t="shared" si="2"/>
        <v>4497038</v>
      </c>
      <c r="H14" s="131">
        <f t="shared" si="2"/>
        <v>4871674</v>
      </c>
      <c r="I14" s="131">
        <f t="shared" si="2"/>
        <v>4406722</v>
      </c>
      <c r="J14" s="131">
        <f t="shared" si="2"/>
        <v>4396792</v>
      </c>
      <c r="K14" s="131">
        <f t="shared" si="2"/>
        <v>4765453</v>
      </c>
      <c r="L14" s="131">
        <f t="shared" si="2"/>
        <v>4713453</v>
      </c>
      <c r="M14" s="131">
        <f t="shared" si="2"/>
        <v>4359793</v>
      </c>
      <c r="N14" s="131">
        <f t="shared" si="2"/>
        <v>4546327</v>
      </c>
      <c r="O14" s="131">
        <f t="shared" si="2"/>
        <v>4419974</v>
      </c>
      <c r="P14" s="131">
        <f t="shared" si="2"/>
        <v>4075941</v>
      </c>
      <c r="Q14" s="131">
        <f t="shared" si="2"/>
        <v>5628861</v>
      </c>
      <c r="R14" s="131">
        <f>SUM(F14:Q14)</f>
        <v>55418000</v>
      </c>
      <c r="S14" s="216"/>
      <c r="T14" s="98"/>
    </row>
    <row r="15" spans="5:22" s="4" customFormat="1" ht="25.5" customHeight="1">
      <c r="E15" s="134"/>
      <c r="F15" s="131"/>
      <c r="G15" s="131"/>
      <c r="H15" s="131"/>
      <c r="I15" s="131"/>
      <c r="J15" s="131"/>
      <c r="K15" s="131"/>
      <c r="L15" s="131"/>
      <c r="M15" s="131"/>
      <c r="N15" s="131"/>
      <c r="O15" s="131"/>
      <c r="P15" s="131"/>
      <c r="Q15" s="131"/>
      <c r="R15" s="131"/>
      <c r="S15" s="98"/>
      <c r="T15" s="98"/>
    </row>
    <row r="16" spans="5:22" s="4" customFormat="1" ht="20.100000000000001" customHeight="1">
      <c r="E16" s="134" t="s">
        <v>14</v>
      </c>
      <c r="F16" s="135"/>
      <c r="G16" s="135"/>
      <c r="H16" s="135"/>
      <c r="I16" s="135"/>
      <c r="J16" s="135"/>
      <c r="K16" s="135"/>
      <c r="L16" s="135"/>
      <c r="M16" s="135"/>
      <c r="N16" s="135"/>
      <c r="O16" s="135"/>
      <c r="P16" s="135"/>
      <c r="Q16" s="135"/>
      <c r="R16" s="131"/>
      <c r="S16" s="48"/>
      <c r="T16" s="48"/>
    </row>
    <row r="17" spans="5:20" s="4" customFormat="1" ht="20.100000000000001" customHeight="1">
      <c r="E17" s="134"/>
      <c r="F17" s="135"/>
      <c r="G17" s="135"/>
      <c r="H17" s="135"/>
      <c r="I17" s="135"/>
      <c r="J17" s="135"/>
      <c r="K17" s="135"/>
      <c r="L17" s="135"/>
      <c r="M17" s="135"/>
      <c r="N17" s="135"/>
      <c r="O17" s="135"/>
      <c r="P17" s="135"/>
      <c r="Q17" s="135"/>
      <c r="R17" s="131"/>
      <c r="S17" s="48"/>
      <c r="T17" s="48"/>
    </row>
    <row r="18" spans="5:20" s="4" customFormat="1" ht="20.100000000000001" customHeight="1">
      <c r="E18" s="134" t="s">
        <v>15</v>
      </c>
      <c r="F18" s="131">
        <f>SUM(F19:F22)</f>
        <v>4617770</v>
      </c>
      <c r="G18" s="131">
        <f t="shared" ref="G18:R18" si="3">SUM(G19:G22)</f>
        <v>4367810</v>
      </c>
      <c r="H18" s="131">
        <f t="shared" si="3"/>
        <v>4748290</v>
      </c>
      <c r="I18" s="131">
        <f t="shared" si="3"/>
        <v>4295040</v>
      </c>
      <c r="J18" s="131">
        <f t="shared" si="3"/>
        <v>4288600</v>
      </c>
      <c r="K18" s="131">
        <f t="shared" si="3"/>
        <v>4644670</v>
      </c>
      <c r="L18" s="131">
        <f t="shared" si="3"/>
        <v>4595620</v>
      </c>
      <c r="M18" s="131">
        <f t="shared" si="3"/>
        <v>4250890</v>
      </c>
      <c r="N18" s="131">
        <f t="shared" si="3"/>
        <v>4433600</v>
      </c>
      <c r="O18" s="131">
        <f t="shared" si="3"/>
        <v>4310360</v>
      </c>
      <c r="P18" s="131">
        <f t="shared" si="3"/>
        <v>3946040</v>
      </c>
      <c r="Q18" s="131">
        <f t="shared" si="3"/>
        <v>5485890</v>
      </c>
      <c r="R18" s="131">
        <f t="shared" si="3"/>
        <v>53984580</v>
      </c>
      <c r="S18" s="218"/>
      <c r="T18" s="218"/>
    </row>
    <row r="19" spans="5:20" s="4" customFormat="1" ht="20.100000000000001" customHeight="1">
      <c r="E19" s="137" t="s">
        <v>106</v>
      </c>
      <c r="F19" s="135">
        <v>3633330</v>
      </c>
      <c r="G19" s="135">
        <v>3383370</v>
      </c>
      <c r="H19" s="135">
        <v>3763850</v>
      </c>
      <c r="I19" s="135">
        <v>3310600</v>
      </c>
      <c r="J19" s="135">
        <v>3304160</v>
      </c>
      <c r="K19" s="135">
        <v>3660230</v>
      </c>
      <c r="L19" s="135">
        <v>3611180</v>
      </c>
      <c r="M19" s="135">
        <v>3266450</v>
      </c>
      <c r="N19" s="135">
        <v>3449160</v>
      </c>
      <c r="O19" s="135">
        <v>3325920</v>
      </c>
      <c r="P19" s="135">
        <v>2961600</v>
      </c>
      <c r="Q19" s="135">
        <v>4501450</v>
      </c>
      <c r="R19" s="136">
        <f t="shared" ref="R19:R24" si="4">SUM(F19:Q19)</f>
        <v>42171300</v>
      </c>
      <c r="S19" s="218"/>
      <c r="T19" s="100"/>
    </row>
    <row r="20" spans="5:20" s="4" customFormat="1" ht="20.100000000000001" customHeight="1">
      <c r="E20" s="137" t="s">
        <v>107</v>
      </c>
      <c r="F20" s="135">
        <v>206440</v>
      </c>
      <c r="G20" s="135">
        <v>206440</v>
      </c>
      <c r="H20" s="135">
        <v>206440</v>
      </c>
      <c r="I20" s="135">
        <v>206440</v>
      </c>
      <c r="J20" s="135">
        <v>206440</v>
      </c>
      <c r="K20" s="135">
        <v>206440</v>
      </c>
      <c r="L20" s="135">
        <v>206440</v>
      </c>
      <c r="M20" s="135">
        <v>206440</v>
      </c>
      <c r="N20" s="135">
        <v>206440</v>
      </c>
      <c r="O20" s="135">
        <v>206440</v>
      </c>
      <c r="P20" s="135">
        <v>206440</v>
      </c>
      <c r="Q20" s="135">
        <v>206440</v>
      </c>
      <c r="R20" s="136">
        <f t="shared" si="4"/>
        <v>2477280</v>
      </c>
      <c r="S20" s="218"/>
      <c r="T20" s="100"/>
    </row>
    <row r="21" spans="5:20" s="4" customFormat="1" ht="20.100000000000001" customHeight="1">
      <c r="E21" s="137" t="s">
        <v>135</v>
      </c>
      <c r="F21" s="135">
        <v>490000</v>
      </c>
      <c r="G21" s="135">
        <v>490000</v>
      </c>
      <c r="H21" s="135">
        <v>490000</v>
      </c>
      <c r="I21" s="135">
        <v>490000</v>
      </c>
      <c r="J21" s="135">
        <v>490000</v>
      </c>
      <c r="K21" s="135">
        <v>490000</v>
      </c>
      <c r="L21" s="135">
        <v>490000</v>
      </c>
      <c r="M21" s="135">
        <v>490000</v>
      </c>
      <c r="N21" s="135">
        <v>490000</v>
      </c>
      <c r="O21" s="135">
        <v>490000</v>
      </c>
      <c r="P21" s="135">
        <v>490000</v>
      </c>
      <c r="Q21" s="135">
        <v>490000</v>
      </c>
      <c r="R21" s="136">
        <f t="shared" si="4"/>
        <v>5880000</v>
      </c>
      <c r="S21" s="218"/>
      <c r="T21" s="100"/>
    </row>
    <row r="22" spans="5:20" s="4" customFormat="1" ht="20.100000000000001" customHeight="1">
      <c r="E22" s="137" t="s">
        <v>136</v>
      </c>
      <c r="F22" s="135">
        <v>288000</v>
      </c>
      <c r="G22" s="135">
        <v>288000</v>
      </c>
      <c r="H22" s="135">
        <v>288000</v>
      </c>
      <c r="I22" s="135">
        <v>288000</v>
      </c>
      <c r="J22" s="135">
        <v>288000</v>
      </c>
      <c r="K22" s="135">
        <v>288000</v>
      </c>
      <c r="L22" s="135">
        <v>288000</v>
      </c>
      <c r="M22" s="135">
        <v>288000</v>
      </c>
      <c r="N22" s="135">
        <v>288000</v>
      </c>
      <c r="O22" s="135">
        <v>288000</v>
      </c>
      <c r="P22" s="135">
        <v>288000</v>
      </c>
      <c r="Q22" s="135">
        <v>288000</v>
      </c>
      <c r="R22" s="136">
        <f t="shared" si="4"/>
        <v>3456000</v>
      </c>
      <c r="S22" s="218"/>
      <c r="T22" s="100"/>
    </row>
    <row r="23" spans="5:20" s="4" customFormat="1" ht="20.100000000000001" customHeight="1">
      <c r="E23" s="219"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8"/>
      <c r="T23" s="100"/>
    </row>
    <row r="24" spans="5:20" s="4" customFormat="1" ht="20.100000000000001" customHeight="1">
      <c r="E24" s="220" t="s">
        <v>105</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8"/>
      <c r="T24" s="100"/>
    </row>
    <row r="25" spans="5:20" s="4" customFormat="1" ht="20.100000000000001" customHeight="1">
      <c r="E25" s="138"/>
      <c r="F25" s="135"/>
      <c r="G25" s="135"/>
      <c r="H25" s="135"/>
      <c r="I25" s="135"/>
      <c r="J25" s="135"/>
      <c r="K25" s="135"/>
      <c r="L25" s="135"/>
      <c r="M25" s="135"/>
      <c r="N25" s="135"/>
      <c r="O25" s="135"/>
      <c r="P25" s="135"/>
      <c r="Q25" s="135"/>
      <c r="R25" s="136"/>
      <c r="S25" s="218"/>
      <c r="T25" s="218"/>
    </row>
    <row r="26" spans="5:20" s="4" customFormat="1" ht="20.100000000000001" customHeight="1">
      <c r="E26" s="134" t="s">
        <v>17</v>
      </c>
      <c r="F26" s="131">
        <f t="shared" ref="F26:Q26" si="6">SUM(F27:F28)+F34</f>
        <v>15000</v>
      </c>
      <c r="G26" s="131">
        <f t="shared" si="6"/>
        <v>14360</v>
      </c>
      <c r="H26" s="131">
        <f t="shared" si="6"/>
        <v>16340</v>
      </c>
      <c r="I26" s="131">
        <f t="shared" si="6"/>
        <v>17780</v>
      </c>
      <c r="J26" s="131">
        <f t="shared" si="6"/>
        <v>14510</v>
      </c>
      <c r="K26" s="131">
        <f t="shared" si="6"/>
        <v>16900</v>
      </c>
      <c r="L26" s="131">
        <f t="shared" si="6"/>
        <v>15200</v>
      </c>
      <c r="M26" s="131">
        <f t="shared" si="6"/>
        <v>16140</v>
      </c>
      <c r="N26" s="131">
        <f t="shared" si="6"/>
        <v>14770</v>
      </c>
      <c r="O26" s="131">
        <f t="shared" si="6"/>
        <v>15200</v>
      </c>
      <c r="P26" s="131">
        <f t="shared" si="6"/>
        <v>14240</v>
      </c>
      <c r="Q26" s="131">
        <f t="shared" si="6"/>
        <v>14800</v>
      </c>
      <c r="R26" s="136">
        <f>SUM(F26:Q26)</f>
        <v>185240</v>
      </c>
      <c r="S26" s="48"/>
      <c r="T26" s="48"/>
    </row>
    <row r="27" spans="5:20" s="4" customFormat="1" ht="20.100000000000001" customHeight="1">
      <c r="E27" s="137" t="s">
        <v>109</v>
      </c>
      <c r="F27" s="135">
        <v>15000</v>
      </c>
      <c r="G27" s="135">
        <v>14360</v>
      </c>
      <c r="H27" s="135">
        <v>16340</v>
      </c>
      <c r="I27" s="135">
        <v>17780</v>
      </c>
      <c r="J27" s="135">
        <v>14510</v>
      </c>
      <c r="K27" s="135">
        <v>16900</v>
      </c>
      <c r="L27" s="135">
        <v>15200</v>
      </c>
      <c r="M27" s="135">
        <v>16140</v>
      </c>
      <c r="N27" s="135">
        <v>14770</v>
      </c>
      <c r="O27" s="135">
        <v>15200</v>
      </c>
      <c r="P27" s="158">
        <v>14240</v>
      </c>
      <c r="Q27" s="135">
        <v>14800</v>
      </c>
      <c r="R27" s="136">
        <f>SUM(F27:Q27)</f>
        <v>185240</v>
      </c>
      <c r="S27" s="218"/>
      <c r="T27" s="100"/>
    </row>
    <row r="28" spans="5:20" s="4" customFormat="1" ht="20.100000000000001" customHeight="1">
      <c r="E28" s="137"/>
      <c r="F28" s="135"/>
      <c r="G28" s="135"/>
      <c r="H28" s="135"/>
      <c r="I28" s="135"/>
      <c r="J28" s="135"/>
      <c r="K28" s="135"/>
      <c r="L28" s="135"/>
      <c r="M28" s="135"/>
      <c r="N28" s="135"/>
      <c r="O28" s="135"/>
      <c r="P28" s="135"/>
      <c r="Q28" s="135"/>
      <c r="R28" s="136"/>
      <c r="S28" s="48"/>
      <c r="T28" s="100"/>
    </row>
    <row r="29" spans="5:20" s="48" customFormat="1" ht="20.100000000000001" customHeight="1">
      <c r="E29" s="134"/>
      <c r="F29" s="135"/>
      <c r="G29" s="135"/>
      <c r="H29" s="135"/>
      <c r="I29" s="135"/>
      <c r="J29" s="135"/>
      <c r="K29" s="135"/>
      <c r="L29" s="135"/>
      <c r="M29" s="135"/>
      <c r="N29" s="135"/>
      <c r="O29" s="135"/>
      <c r="P29" s="135"/>
      <c r="Q29" s="135"/>
      <c r="R29" s="136"/>
    </row>
    <row r="30" spans="5:20" s="4" customFormat="1" ht="20.100000000000001" customHeight="1">
      <c r="E30" s="134" t="s">
        <v>26</v>
      </c>
      <c r="F30" s="139">
        <f t="shared" ref="F30:Q30" si="7">F31+F32</f>
        <v>0</v>
      </c>
      <c r="G30" s="139">
        <f t="shared" si="7"/>
        <v>0</v>
      </c>
      <c r="H30" s="139">
        <f t="shared" si="7"/>
        <v>0</v>
      </c>
      <c r="I30" s="139">
        <f t="shared" si="7"/>
        <v>0</v>
      </c>
      <c r="J30" s="139">
        <f t="shared" si="7"/>
        <v>0</v>
      </c>
      <c r="K30" s="139">
        <f t="shared" si="7"/>
        <v>0</v>
      </c>
      <c r="L30" s="139">
        <f t="shared" si="7"/>
        <v>0</v>
      </c>
      <c r="M30" s="139">
        <f t="shared" si="7"/>
        <v>0</v>
      </c>
      <c r="N30" s="139">
        <f t="shared" si="7"/>
        <v>0</v>
      </c>
      <c r="O30" s="139">
        <f t="shared" si="7"/>
        <v>0</v>
      </c>
      <c r="P30" s="139">
        <f t="shared" si="7"/>
        <v>0</v>
      </c>
      <c r="Q30" s="139">
        <f t="shared" si="7"/>
        <v>0</v>
      </c>
      <c r="R30" s="136">
        <f>SUM(F30:Q30)</f>
        <v>0</v>
      </c>
      <c r="S30" s="48"/>
      <c r="T30" s="48"/>
    </row>
    <row r="31" spans="5:20" s="4" customFormat="1" ht="20.25" customHeight="1">
      <c r="E31" s="137" t="s">
        <v>101</v>
      </c>
      <c r="F31" s="139"/>
      <c r="G31" s="139"/>
      <c r="H31" s="139"/>
      <c r="I31" s="139"/>
      <c r="J31" s="139"/>
      <c r="K31" s="139"/>
      <c r="L31" s="139"/>
      <c r="M31" s="139"/>
      <c r="N31" s="139"/>
      <c r="O31" s="139"/>
      <c r="P31" s="139"/>
      <c r="Q31" s="139"/>
      <c r="R31" s="136"/>
      <c r="S31" s="48"/>
      <c r="T31" s="48"/>
    </row>
    <row r="32" spans="5:20" s="4" customFormat="1" ht="20.25" customHeight="1">
      <c r="E32" s="137" t="s">
        <v>100</v>
      </c>
      <c r="F32" s="139"/>
      <c r="G32" s="139"/>
      <c r="H32" s="139"/>
      <c r="I32" s="139"/>
      <c r="J32" s="139"/>
      <c r="K32" s="139"/>
      <c r="L32" s="139"/>
      <c r="M32" s="139"/>
      <c r="N32" s="139"/>
      <c r="O32" s="139"/>
      <c r="P32" s="139"/>
      <c r="Q32" s="139"/>
      <c r="R32" s="136"/>
      <c r="S32" s="48"/>
      <c r="T32" s="48"/>
    </row>
    <row r="33" spans="5:20" s="4" customFormat="1" ht="20.25" customHeight="1">
      <c r="E33" s="140"/>
      <c r="F33" s="139"/>
      <c r="G33" s="139"/>
      <c r="H33" s="139"/>
      <c r="I33" s="139"/>
      <c r="J33" s="139"/>
      <c r="K33" s="139"/>
      <c r="L33" s="139"/>
      <c r="M33" s="139"/>
      <c r="N33" s="139"/>
      <c r="O33" s="139"/>
      <c r="P33" s="139"/>
      <c r="Q33" s="139"/>
      <c r="R33" s="136"/>
      <c r="S33" s="48"/>
      <c r="T33" s="48"/>
    </row>
    <row r="34" spans="5:20" s="4" customFormat="1" ht="19.5" customHeight="1">
      <c r="E34" s="134" t="s">
        <v>66</v>
      </c>
      <c r="F34" s="136">
        <f t="shared" ref="F34:Q34" si="8">SUM(F35:F36)</f>
        <v>0</v>
      </c>
      <c r="G34" s="136">
        <f t="shared" si="8"/>
        <v>0</v>
      </c>
      <c r="H34" s="136">
        <f t="shared" si="8"/>
        <v>0</v>
      </c>
      <c r="I34" s="136">
        <f t="shared" si="8"/>
        <v>0</v>
      </c>
      <c r="J34" s="136">
        <f t="shared" si="8"/>
        <v>0</v>
      </c>
      <c r="K34" s="136">
        <f t="shared" si="8"/>
        <v>0</v>
      </c>
      <c r="L34" s="136">
        <f t="shared" si="8"/>
        <v>0</v>
      </c>
      <c r="M34" s="136">
        <f t="shared" si="8"/>
        <v>0</v>
      </c>
      <c r="N34" s="136">
        <f t="shared" si="8"/>
        <v>0</v>
      </c>
      <c r="O34" s="136">
        <f t="shared" si="8"/>
        <v>0</v>
      </c>
      <c r="P34" s="136">
        <f t="shared" si="8"/>
        <v>0</v>
      </c>
      <c r="Q34" s="136">
        <f t="shared" si="8"/>
        <v>0</v>
      </c>
      <c r="R34" s="136">
        <f>SUM(F34:Q34)</f>
        <v>0</v>
      </c>
      <c r="S34" s="48"/>
      <c r="T34" s="48"/>
    </row>
    <row r="35" spans="5:20" s="4" customFormat="1" ht="20.100000000000001" customHeight="1">
      <c r="E35" s="137" t="s">
        <v>67</v>
      </c>
      <c r="F35" s="135"/>
      <c r="G35" s="135"/>
      <c r="H35" s="135"/>
      <c r="I35" s="139"/>
      <c r="J35" s="139"/>
      <c r="K35" s="139"/>
      <c r="L35" s="139"/>
      <c r="M35" s="139"/>
      <c r="N35" s="139"/>
      <c r="O35" s="139"/>
      <c r="P35" s="139"/>
      <c r="Q35" s="139"/>
      <c r="R35" s="136">
        <f>SUM(F35:Q35)</f>
        <v>0</v>
      </c>
      <c r="S35" s="48"/>
      <c r="T35" s="48"/>
    </row>
    <row r="36" spans="5:20" s="4" customFormat="1" ht="20.100000000000001" customHeight="1">
      <c r="E36" s="137" t="s">
        <v>68</v>
      </c>
      <c r="F36" s="139"/>
      <c r="G36" s="139"/>
      <c r="H36" s="139"/>
      <c r="I36" s="139"/>
      <c r="J36" s="139"/>
      <c r="K36" s="139"/>
      <c r="L36" s="139"/>
      <c r="M36" s="139"/>
      <c r="N36" s="139"/>
      <c r="O36" s="139"/>
      <c r="P36" s="139"/>
      <c r="Q36" s="139"/>
      <c r="R36" s="136"/>
      <c r="S36" s="48"/>
      <c r="T36" s="48"/>
    </row>
    <row r="37" spans="5:20" s="48" customFormat="1" ht="20.100000000000001" customHeight="1">
      <c r="E37" s="141"/>
      <c r="F37" s="139"/>
      <c r="G37" s="139"/>
      <c r="H37" s="139"/>
      <c r="I37" s="139"/>
      <c r="J37" s="139"/>
      <c r="K37" s="139"/>
      <c r="L37" s="139"/>
      <c r="M37" s="139"/>
      <c r="N37" s="139"/>
      <c r="O37" s="139"/>
      <c r="P37" s="139"/>
      <c r="Q37" s="139"/>
      <c r="R37" s="136"/>
    </row>
    <row r="38" spans="5:20" s="4" customFormat="1" ht="33" customHeight="1">
      <c r="E38" s="128" t="s">
        <v>102</v>
      </c>
      <c r="F38" s="142">
        <f t="shared" ref="F38:Q38" si="9">F39+F42</f>
        <v>0</v>
      </c>
      <c r="G38" s="142">
        <f t="shared" si="9"/>
        <v>2279678</v>
      </c>
      <c r="H38" s="142">
        <f t="shared" si="9"/>
        <v>2279678</v>
      </c>
      <c r="I38" s="142">
        <f t="shared" si="9"/>
        <v>2279678</v>
      </c>
      <c r="J38" s="142">
        <f t="shared" si="9"/>
        <v>2279678</v>
      </c>
      <c r="K38" s="142">
        <f t="shared" si="9"/>
        <v>2279678</v>
      </c>
      <c r="L38" s="142">
        <f t="shared" si="9"/>
        <v>2279678</v>
      </c>
      <c r="M38" s="142">
        <f t="shared" si="9"/>
        <v>2279678</v>
      </c>
      <c r="N38" s="142">
        <f t="shared" si="9"/>
        <v>2279678</v>
      </c>
      <c r="O38" s="142">
        <f t="shared" si="9"/>
        <v>2279678</v>
      </c>
      <c r="P38" s="142">
        <f t="shared" si="9"/>
        <v>2279678</v>
      </c>
      <c r="Q38" s="142">
        <f t="shared" si="9"/>
        <v>5279677</v>
      </c>
      <c r="R38" s="142">
        <f>SUM(F38:Q38)</f>
        <v>28076457</v>
      </c>
      <c r="S38" s="48"/>
      <c r="T38" s="48"/>
    </row>
    <row r="39" spans="5:20" s="4" customFormat="1" ht="21" customHeight="1">
      <c r="E39" s="137" t="s">
        <v>18</v>
      </c>
      <c r="F39" s="143">
        <f>+F40</f>
        <v>0</v>
      </c>
      <c r="G39" s="143">
        <f t="shared" ref="G39:R39" si="10">+G40</f>
        <v>2279678</v>
      </c>
      <c r="H39" s="143">
        <f t="shared" si="10"/>
        <v>2279678</v>
      </c>
      <c r="I39" s="143">
        <f t="shared" si="10"/>
        <v>2279678</v>
      </c>
      <c r="J39" s="143">
        <f t="shared" si="10"/>
        <v>2279678</v>
      </c>
      <c r="K39" s="143">
        <f t="shared" si="10"/>
        <v>2279678</v>
      </c>
      <c r="L39" s="143">
        <f t="shared" si="10"/>
        <v>2279678</v>
      </c>
      <c r="M39" s="143">
        <f t="shared" si="10"/>
        <v>2279678</v>
      </c>
      <c r="N39" s="143">
        <f t="shared" si="10"/>
        <v>2279678</v>
      </c>
      <c r="O39" s="143">
        <f t="shared" si="10"/>
        <v>2279678</v>
      </c>
      <c r="P39" s="143">
        <f t="shared" si="10"/>
        <v>2279678</v>
      </c>
      <c r="Q39" s="143">
        <f t="shared" si="10"/>
        <v>5279677</v>
      </c>
      <c r="R39" s="143">
        <f t="shared" si="10"/>
        <v>28076457</v>
      </c>
      <c r="S39" s="98"/>
      <c r="T39" s="98"/>
    </row>
    <row r="40" spans="5:20" s="4" customFormat="1" ht="20.100000000000001" customHeight="1">
      <c r="E40" s="137" t="s">
        <v>19</v>
      </c>
      <c r="F40" s="143">
        <v>0</v>
      </c>
      <c r="G40" s="143">
        <v>2279678</v>
      </c>
      <c r="H40" s="143">
        <v>2279678</v>
      </c>
      <c r="I40" s="143">
        <v>2279678</v>
      </c>
      <c r="J40" s="143">
        <v>2279678</v>
      </c>
      <c r="K40" s="143">
        <v>2279678</v>
      </c>
      <c r="L40" s="143">
        <v>2279678</v>
      </c>
      <c r="M40" s="143">
        <v>2279678</v>
      </c>
      <c r="N40" s="143">
        <v>2279678</v>
      </c>
      <c r="O40" s="143">
        <v>2279678</v>
      </c>
      <c r="P40" s="143">
        <v>2279678</v>
      </c>
      <c r="Q40" s="143">
        <f>3000000+2279677</f>
        <v>5279677</v>
      </c>
      <c r="R40" s="139">
        <f>SUM(F40:Q40)</f>
        <v>28076457</v>
      </c>
      <c r="S40" s="218">
        <v>28076457</v>
      </c>
      <c r="T40" s="221">
        <f>+S40-R40</f>
        <v>0</v>
      </c>
    </row>
    <row r="41" spans="5:20" s="48" customFormat="1" ht="15" customHeight="1">
      <c r="E41" s="137" t="s">
        <v>20</v>
      </c>
      <c r="F41" s="143"/>
      <c r="G41" s="143"/>
      <c r="H41" s="143"/>
      <c r="I41" s="143"/>
      <c r="J41" s="143"/>
      <c r="K41" s="143"/>
      <c r="L41" s="143"/>
      <c r="M41" s="143"/>
      <c r="N41" s="143"/>
      <c r="O41" s="143"/>
      <c r="P41" s="143"/>
      <c r="Q41" s="143"/>
      <c r="R41" s="144"/>
      <c r="S41" s="218">
        <v>3000000</v>
      </c>
      <c r="T41" s="222">
        <f>+R40-S41</f>
        <v>25076457</v>
      </c>
    </row>
    <row r="42" spans="5:20" s="48" customFormat="1" ht="15" customHeight="1">
      <c r="E42" s="137" t="s">
        <v>21</v>
      </c>
      <c r="F42" s="139">
        <f t="shared" ref="F42:Q42" si="11">F43+F44</f>
        <v>0</v>
      </c>
      <c r="G42" s="139">
        <f t="shared" si="11"/>
        <v>0</v>
      </c>
      <c r="H42" s="139">
        <f t="shared" si="11"/>
        <v>0</v>
      </c>
      <c r="I42" s="139">
        <f t="shared" si="11"/>
        <v>0</v>
      </c>
      <c r="J42" s="139">
        <f t="shared" si="11"/>
        <v>0</v>
      </c>
      <c r="K42" s="139">
        <f t="shared" si="11"/>
        <v>0</v>
      </c>
      <c r="L42" s="139">
        <f t="shared" si="11"/>
        <v>0</v>
      </c>
      <c r="M42" s="139">
        <f t="shared" si="11"/>
        <v>0</v>
      </c>
      <c r="N42" s="139">
        <f t="shared" si="11"/>
        <v>0</v>
      </c>
      <c r="O42" s="139">
        <f t="shared" si="11"/>
        <v>0</v>
      </c>
      <c r="P42" s="139">
        <f t="shared" si="11"/>
        <v>0</v>
      </c>
      <c r="Q42" s="139">
        <f t="shared" si="11"/>
        <v>0</v>
      </c>
      <c r="R42" s="136">
        <f>SUM(F42:Q42)</f>
        <v>0</v>
      </c>
      <c r="S42" s="218">
        <f>+S40-S41</f>
        <v>25076457</v>
      </c>
    </row>
    <row r="43" spans="5:20" s="48" customFormat="1" ht="20.100000000000001" customHeight="1">
      <c r="E43" s="137" t="s">
        <v>19</v>
      </c>
      <c r="F43" s="143"/>
      <c r="G43" s="143"/>
      <c r="H43" s="143"/>
      <c r="I43" s="143"/>
      <c r="J43" s="143"/>
      <c r="K43" s="143"/>
      <c r="L43" s="143"/>
      <c r="M43" s="143"/>
      <c r="N43" s="143"/>
      <c r="O43" s="143"/>
      <c r="P43" s="143"/>
      <c r="Q43" s="143"/>
      <c r="R43" s="144"/>
      <c r="S43" s="218">
        <f>+S42/11</f>
        <v>2279677.9090909092</v>
      </c>
      <c r="T43" s="48">
        <f>+S43/12</f>
        <v>189973.15909090909</v>
      </c>
    </row>
    <row r="44" spans="5:20" s="48" customFormat="1" ht="15" customHeight="1">
      <c r="E44" s="137" t="s">
        <v>22</v>
      </c>
      <c r="F44" s="143"/>
      <c r="G44" s="143"/>
      <c r="H44" s="143"/>
      <c r="I44" s="143"/>
      <c r="J44" s="143"/>
      <c r="K44" s="143"/>
      <c r="L44" s="143"/>
      <c r="M44" s="143"/>
      <c r="N44" s="143"/>
      <c r="O44" s="143"/>
      <c r="P44" s="143"/>
      <c r="Q44" s="143"/>
      <c r="R44" s="144"/>
    </row>
    <row r="45" spans="5:20" s="48" customFormat="1" ht="39" customHeight="1">
      <c r="E45" s="128" t="s">
        <v>96</v>
      </c>
      <c r="F45" s="142">
        <f t="shared" ref="F45:Q45" si="12">F46+F47</f>
        <v>0</v>
      </c>
      <c r="G45" s="142">
        <f t="shared" si="12"/>
        <v>0</v>
      </c>
      <c r="H45" s="142">
        <f t="shared" si="12"/>
        <v>0</v>
      </c>
      <c r="I45" s="142">
        <f t="shared" si="12"/>
        <v>0</v>
      </c>
      <c r="J45" s="142">
        <f t="shared" si="12"/>
        <v>0</v>
      </c>
      <c r="K45" s="142">
        <f t="shared" si="12"/>
        <v>0</v>
      </c>
      <c r="L45" s="142">
        <f t="shared" si="12"/>
        <v>0</v>
      </c>
      <c r="M45" s="142">
        <f t="shared" si="12"/>
        <v>0</v>
      </c>
      <c r="N45" s="142">
        <f t="shared" si="12"/>
        <v>0</v>
      </c>
      <c r="O45" s="142">
        <f t="shared" si="12"/>
        <v>0</v>
      </c>
      <c r="P45" s="142">
        <f t="shared" si="12"/>
        <v>0</v>
      </c>
      <c r="Q45" s="142">
        <f t="shared" si="12"/>
        <v>0</v>
      </c>
      <c r="R45" s="142">
        <f>SUM(F45:Q45)</f>
        <v>0</v>
      </c>
    </row>
    <row r="46" spans="5:20" s="4" customFormat="1" ht="18" customHeight="1">
      <c r="E46" s="137" t="s">
        <v>18</v>
      </c>
      <c r="F46" s="139"/>
      <c r="G46" s="139"/>
      <c r="H46" s="139"/>
      <c r="I46" s="139"/>
      <c r="J46" s="139"/>
      <c r="K46" s="139"/>
      <c r="L46" s="139"/>
      <c r="M46" s="139"/>
      <c r="N46" s="139"/>
      <c r="O46" s="139"/>
      <c r="P46" s="139"/>
      <c r="Q46" s="139"/>
      <c r="R46" s="136"/>
      <c r="S46" s="98"/>
      <c r="T46" s="98"/>
    </row>
    <row r="47" spans="5:20" s="4" customFormat="1" ht="20.100000000000001" customHeight="1">
      <c r="E47" s="137" t="s">
        <v>21</v>
      </c>
      <c r="F47" s="139"/>
      <c r="G47" s="139"/>
      <c r="H47" s="139"/>
      <c r="I47" s="139"/>
      <c r="J47" s="139"/>
      <c r="K47" s="139"/>
      <c r="L47" s="139"/>
      <c r="M47" s="139"/>
      <c r="N47" s="139"/>
      <c r="O47" s="139"/>
      <c r="P47" s="139"/>
      <c r="Q47" s="139"/>
      <c r="R47" s="136"/>
      <c r="S47" s="48"/>
      <c r="T47" s="48"/>
    </row>
    <row r="48" spans="5:20" s="4" customFormat="1" ht="20.100000000000001" customHeight="1">
      <c r="E48" s="128" t="s">
        <v>92</v>
      </c>
      <c r="F48" s="142">
        <f t="shared" ref="F48:Q48" si="13">+F49</f>
        <v>0</v>
      </c>
      <c r="G48" s="142">
        <f t="shared" si="13"/>
        <v>0</v>
      </c>
      <c r="H48" s="142">
        <f t="shared" si="13"/>
        <v>0</v>
      </c>
      <c r="I48" s="142">
        <f t="shared" si="13"/>
        <v>0</v>
      </c>
      <c r="J48" s="142">
        <f t="shared" si="13"/>
        <v>0</v>
      </c>
      <c r="K48" s="142">
        <f t="shared" si="13"/>
        <v>0</v>
      </c>
      <c r="L48" s="142">
        <f t="shared" si="13"/>
        <v>0</v>
      </c>
      <c r="M48" s="142">
        <f t="shared" si="13"/>
        <v>0</v>
      </c>
      <c r="N48" s="142">
        <f t="shared" si="13"/>
        <v>0</v>
      </c>
      <c r="O48" s="142">
        <f t="shared" si="13"/>
        <v>0</v>
      </c>
      <c r="P48" s="142">
        <f t="shared" si="13"/>
        <v>0</v>
      </c>
      <c r="Q48" s="142">
        <f t="shared" si="13"/>
        <v>0</v>
      </c>
      <c r="R48" s="142">
        <f>SUM(F48:Q48)</f>
        <v>0</v>
      </c>
      <c r="S48" s="48"/>
      <c r="T48" s="48"/>
    </row>
    <row r="49" spans="5:20" s="4" customFormat="1" ht="23.45" customHeight="1">
      <c r="E49" s="134" t="s">
        <v>93</v>
      </c>
      <c r="F49" s="136">
        <f t="shared" ref="F49:Q49" si="14">+F50+F51</f>
        <v>0</v>
      </c>
      <c r="G49" s="136">
        <f t="shared" si="14"/>
        <v>0</v>
      </c>
      <c r="H49" s="136">
        <f t="shared" si="14"/>
        <v>0</v>
      </c>
      <c r="I49" s="136">
        <f t="shared" si="14"/>
        <v>0</v>
      </c>
      <c r="J49" s="136">
        <f t="shared" si="14"/>
        <v>0</v>
      </c>
      <c r="K49" s="136">
        <f t="shared" si="14"/>
        <v>0</v>
      </c>
      <c r="L49" s="136">
        <f t="shared" si="14"/>
        <v>0</v>
      </c>
      <c r="M49" s="136">
        <f t="shared" si="14"/>
        <v>0</v>
      </c>
      <c r="N49" s="136">
        <f t="shared" si="14"/>
        <v>0</v>
      </c>
      <c r="O49" s="136">
        <f t="shared" si="14"/>
        <v>0</v>
      </c>
      <c r="P49" s="136">
        <f t="shared" si="14"/>
        <v>0</v>
      </c>
      <c r="Q49" s="136">
        <f t="shared" si="14"/>
        <v>0</v>
      </c>
      <c r="R49" s="136">
        <f>SUM(F49:Q49)</f>
        <v>0</v>
      </c>
      <c r="S49" s="48"/>
      <c r="T49" s="48"/>
    </row>
    <row r="50" spans="5:20" s="4"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98"/>
      <c r="T50" s="98"/>
    </row>
    <row r="51" spans="5:20" s="4"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48"/>
      <c r="T51" s="48"/>
    </row>
    <row r="52" spans="5:20" s="4" customFormat="1" ht="19.5" customHeight="1" thickBot="1">
      <c r="E52" s="223"/>
      <c r="F52" s="224"/>
      <c r="G52" s="224"/>
      <c r="H52" s="224"/>
      <c r="I52" s="224"/>
      <c r="J52" s="224"/>
      <c r="K52" s="224"/>
      <c r="L52" s="224"/>
      <c r="M52" s="224"/>
      <c r="N52" s="224"/>
      <c r="O52" s="224"/>
      <c r="P52" s="224"/>
      <c r="Q52" s="224"/>
      <c r="R52" s="224"/>
      <c r="S52" s="100"/>
      <c r="T52" s="48"/>
    </row>
    <row r="53" spans="5:20" s="227" customFormat="1" ht="20.100000000000001" customHeight="1" thickTop="1" thickBot="1">
      <c r="E53" s="223"/>
      <c r="F53" s="224"/>
      <c r="G53" s="224"/>
      <c r="H53" s="224"/>
      <c r="I53" s="224"/>
      <c r="J53" s="224"/>
      <c r="K53" s="224"/>
      <c r="L53" s="224"/>
      <c r="M53" s="224"/>
      <c r="N53" s="224"/>
      <c r="O53" s="224"/>
      <c r="P53" s="224"/>
      <c r="Q53" s="224"/>
      <c r="R53" s="224"/>
      <c r="S53" s="225"/>
      <c r="T53" s="226"/>
    </row>
    <row r="54" spans="5:20" s="227" customFormat="1" ht="15" thickTop="1">
      <c r="E54" s="1" t="s">
        <v>137</v>
      </c>
      <c r="F54" s="228"/>
      <c r="G54" s="228"/>
      <c r="H54" s="228"/>
      <c r="I54" s="228"/>
      <c r="J54" s="228"/>
      <c r="K54" s="228"/>
      <c r="L54" s="228"/>
      <c r="M54" s="228"/>
      <c r="N54" s="228"/>
      <c r="O54" s="228"/>
      <c r="P54" s="228"/>
      <c r="Q54" s="228"/>
      <c r="R54" s="228"/>
      <c r="S54" s="225"/>
      <c r="T54" s="226"/>
    </row>
    <row r="55" spans="5:20" s="227" customFormat="1" ht="14.25">
      <c r="E55" s="5" t="s">
        <v>138</v>
      </c>
      <c r="F55" s="228"/>
      <c r="G55" s="228"/>
      <c r="H55" s="228"/>
      <c r="I55" s="228"/>
      <c r="J55" s="228"/>
      <c r="K55" s="228"/>
      <c r="L55" s="228"/>
      <c r="M55" s="228"/>
      <c r="N55" s="228"/>
      <c r="O55" s="228"/>
      <c r="P55" s="228"/>
      <c r="Q55" s="228"/>
      <c r="R55" s="228"/>
    </row>
    <row r="56" spans="5:20" s="227" customFormat="1" ht="14.25">
      <c r="E56" s="5"/>
      <c r="F56" s="228"/>
      <c r="G56" s="228"/>
      <c r="H56" s="228"/>
      <c r="I56" s="228"/>
      <c r="J56" s="228"/>
      <c r="K56" s="228"/>
      <c r="L56" s="228"/>
      <c r="M56" s="228"/>
      <c r="N56" s="228"/>
      <c r="O56" s="228"/>
      <c r="P56" s="228"/>
      <c r="Q56" s="228"/>
      <c r="R56" s="228"/>
    </row>
    <row r="57" spans="5:20" s="227" customFormat="1" ht="92.25" customHeight="1" thickBot="1">
      <c r="E57" s="5"/>
      <c r="F57" s="228"/>
      <c r="G57" s="228"/>
      <c r="H57" s="228"/>
      <c r="I57" s="228"/>
      <c r="J57" s="228"/>
      <c r="K57" s="228"/>
      <c r="L57" s="228"/>
      <c r="M57" s="228"/>
      <c r="N57" s="228"/>
      <c r="O57" s="228"/>
      <c r="P57" s="228"/>
      <c r="Q57" s="228"/>
      <c r="R57" s="228"/>
    </row>
    <row r="58" spans="5:20" s="227" customFormat="1" ht="19.5" thickTop="1">
      <c r="E58" s="229" t="s">
        <v>139</v>
      </c>
      <c r="F58" s="230"/>
      <c r="G58" s="230"/>
      <c r="H58" s="230"/>
      <c r="I58" s="366" t="s">
        <v>139</v>
      </c>
      <c r="J58" s="366"/>
      <c r="K58" s="366"/>
      <c r="L58" s="366"/>
      <c r="M58" s="83"/>
      <c r="N58" s="83"/>
      <c r="O58" s="366" t="s">
        <v>139</v>
      </c>
      <c r="P58" s="366"/>
      <c r="Q58" s="366"/>
      <c r="R58" s="228"/>
      <c r="S58" s="232"/>
      <c r="T58" s="232"/>
    </row>
    <row r="59" spans="5:20" ht="19.5">
      <c r="E59" s="233" t="s">
        <v>117</v>
      </c>
      <c r="F59" s="234"/>
      <c r="G59" s="234"/>
      <c r="H59" s="234"/>
      <c r="I59" s="234" t="s">
        <v>140</v>
      </c>
      <c r="J59" s="234"/>
      <c r="K59" s="234"/>
      <c r="L59" s="234"/>
      <c r="M59" s="234"/>
      <c r="N59" s="234"/>
      <c r="O59" s="234" t="s">
        <v>141</v>
      </c>
      <c r="P59" s="234"/>
      <c r="Q59" s="234"/>
      <c r="R59" s="5"/>
      <c r="S59" s="235"/>
      <c r="T59" s="235"/>
    </row>
    <row r="60" spans="5:20" ht="19.5">
      <c r="E60" s="167" t="s">
        <v>114</v>
      </c>
      <c r="F60" s="234"/>
      <c r="G60" s="234"/>
      <c r="H60" s="234"/>
      <c r="I60" s="234" t="s">
        <v>142</v>
      </c>
      <c r="J60" s="234"/>
      <c r="K60" s="234"/>
      <c r="L60" s="234"/>
      <c r="M60" s="234"/>
      <c r="N60" s="234"/>
      <c r="O60" s="234" t="s">
        <v>143</v>
      </c>
      <c r="P60" s="234"/>
      <c r="Q60" s="234"/>
      <c r="R60" s="228"/>
      <c r="S60" s="235"/>
      <c r="T60" s="235"/>
    </row>
    <row r="61" spans="5:20" ht="19.5">
      <c r="E61" s="167" t="s">
        <v>144</v>
      </c>
      <c r="F61" s="234"/>
      <c r="G61" s="234"/>
      <c r="H61" s="234"/>
      <c r="I61" s="234" t="s">
        <v>145</v>
      </c>
      <c r="J61" s="234"/>
      <c r="K61" s="234"/>
      <c r="L61" s="234"/>
      <c r="M61" s="234"/>
      <c r="N61" s="234"/>
      <c r="O61" s="234" t="s">
        <v>146</v>
      </c>
      <c r="P61" s="234"/>
      <c r="Q61" s="234"/>
      <c r="R61" s="235"/>
    </row>
    <row r="62" spans="5:20">
      <c r="F62" s="235"/>
      <c r="G62" s="235"/>
      <c r="H62" s="235"/>
      <c r="I62" s="235"/>
      <c r="J62" s="235"/>
      <c r="K62" s="235"/>
      <c r="L62" s="235"/>
      <c r="M62" s="235"/>
      <c r="N62" s="235"/>
      <c r="O62" s="235"/>
      <c r="P62" s="235"/>
      <c r="Q62" s="235"/>
      <c r="R62" s="235"/>
    </row>
    <row r="63" spans="5:20">
      <c r="F63" s="235"/>
      <c r="G63" s="235"/>
      <c r="H63" s="235"/>
      <c r="I63" s="235"/>
      <c r="J63" s="235"/>
      <c r="K63" s="235"/>
      <c r="L63" s="235"/>
      <c r="M63" s="235"/>
      <c r="N63" s="235"/>
      <c r="O63" s="235"/>
      <c r="P63" s="235"/>
      <c r="Q63" s="235"/>
      <c r="R63" s="235"/>
    </row>
    <row r="64" spans="5:20">
      <c r="F64" s="235"/>
      <c r="G64" s="235"/>
      <c r="H64" s="235"/>
      <c r="I64" s="235"/>
      <c r="J64" s="235"/>
      <c r="K64" s="235"/>
      <c r="L64" s="235"/>
      <c r="M64" s="235"/>
      <c r="N64" s="235"/>
      <c r="O64" s="235"/>
      <c r="P64" s="235"/>
      <c r="Q64" s="235"/>
      <c r="R64" s="235"/>
    </row>
    <row r="65" spans="6:18">
      <c r="F65" s="235"/>
      <c r="G65" s="235"/>
      <c r="H65" s="235"/>
      <c r="I65" s="235"/>
      <c r="J65" s="235"/>
      <c r="K65" s="235"/>
      <c r="L65" s="235"/>
      <c r="M65" s="235"/>
      <c r="N65" s="235"/>
      <c r="O65" s="235"/>
      <c r="P65" s="235"/>
      <c r="Q65" s="235"/>
      <c r="R65" s="235"/>
    </row>
    <row r="66" spans="6:18">
      <c r="F66" s="235"/>
      <c r="G66" s="235"/>
      <c r="H66" s="235"/>
      <c r="I66" s="235"/>
      <c r="J66" s="235"/>
      <c r="K66" s="235"/>
      <c r="L66" s="235"/>
      <c r="M66" s="235"/>
      <c r="N66" s="235"/>
      <c r="O66" s="235"/>
      <c r="P66" s="235"/>
      <c r="Q66" s="235"/>
      <c r="R66" s="235"/>
    </row>
    <row r="67" spans="6:18">
      <c r="F67" s="235"/>
      <c r="G67" s="235"/>
      <c r="H67" s="235"/>
      <c r="I67" s="235"/>
      <c r="J67" s="235"/>
      <c r="K67" s="235"/>
      <c r="L67" s="235"/>
      <c r="M67" s="235"/>
      <c r="N67" s="235"/>
      <c r="O67" s="235"/>
      <c r="P67" s="235"/>
      <c r="Q67" s="235"/>
      <c r="R67" s="235"/>
    </row>
    <row r="68" spans="6:18">
      <c r="F68" s="235"/>
      <c r="G68" s="235"/>
      <c r="H68" s="235"/>
      <c r="I68" s="235"/>
      <c r="J68" s="235"/>
      <c r="K68" s="235"/>
      <c r="L68" s="235"/>
      <c r="M68" s="235"/>
      <c r="N68" s="235"/>
      <c r="O68" s="235"/>
      <c r="P68" s="235"/>
      <c r="Q68" s="235"/>
      <c r="R68" s="235"/>
    </row>
    <row r="69" spans="6:18">
      <c r="F69" s="235"/>
      <c r="G69" s="235"/>
      <c r="H69" s="235"/>
      <c r="I69" s="235"/>
      <c r="J69" s="235"/>
      <c r="K69" s="235"/>
      <c r="L69" s="235"/>
      <c r="M69" s="235"/>
      <c r="N69" s="235"/>
      <c r="O69" s="235"/>
      <c r="P69" s="235"/>
      <c r="Q69" s="235"/>
      <c r="R69" s="235"/>
    </row>
    <row r="70" spans="6:18">
      <c r="F70" s="235"/>
      <c r="G70" s="235"/>
      <c r="H70" s="235"/>
      <c r="I70" s="235"/>
      <c r="J70" s="235"/>
      <c r="K70" s="235"/>
      <c r="L70" s="235"/>
      <c r="M70" s="235"/>
      <c r="N70" s="235"/>
      <c r="O70" s="235"/>
      <c r="P70" s="235"/>
      <c r="Q70" s="235"/>
      <c r="R70" s="235"/>
    </row>
    <row r="71" spans="6:18">
      <c r="F71" s="235"/>
      <c r="G71" s="235"/>
      <c r="H71" s="235"/>
      <c r="I71" s="235"/>
      <c r="J71" s="235"/>
      <c r="K71" s="235"/>
      <c r="L71" s="235"/>
      <c r="M71" s="235"/>
      <c r="N71" s="235"/>
      <c r="O71" s="235"/>
      <c r="P71" s="235"/>
      <c r="Q71" s="235"/>
      <c r="R71" s="235"/>
    </row>
    <row r="72" spans="6:18">
      <c r="F72" s="235"/>
      <c r="G72" s="235"/>
      <c r="H72" s="235"/>
      <c r="I72" s="235"/>
      <c r="J72" s="235"/>
      <c r="K72" s="235"/>
      <c r="L72" s="235"/>
      <c r="M72" s="235"/>
      <c r="N72" s="235"/>
      <c r="O72" s="235"/>
      <c r="P72" s="235"/>
      <c r="Q72" s="235"/>
      <c r="R72" s="235"/>
    </row>
    <row r="73" spans="6:18">
      <c r="F73" s="235"/>
      <c r="G73" s="235"/>
      <c r="H73" s="235"/>
      <c r="I73" s="235"/>
      <c r="J73" s="235"/>
      <c r="K73" s="235"/>
      <c r="L73" s="235"/>
      <c r="M73" s="235"/>
      <c r="N73" s="235"/>
      <c r="O73" s="235"/>
      <c r="P73" s="235"/>
      <c r="Q73" s="235"/>
      <c r="R73" s="235"/>
    </row>
    <row r="74" spans="6:18">
      <c r="F74" s="235"/>
      <c r="G74" s="235"/>
      <c r="H74" s="235"/>
      <c r="I74" s="235"/>
      <c r="J74" s="235"/>
      <c r="K74" s="235"/>
      <c r="L74" s="235"/>
      <c r="M74" s="235"/>
      <c r="N74" s="235"/>
      <c r="O74" s="235"/>
      <c r="P74" s="235"/>
      <c r="Q74" s="235"/>
      <c r="R74" s="235"/>
    </row>
    <row r="75" spans="6:18">
      <c r="F75" s="235"/>
      <c r="G75" s="235"/>
      <c r="H75" s="235"/>
      <c r="I75" s="235"/>
      <c r="J75" s="235"/>
      <c r="K75" s="235"/>
      <c r="L75" s="235"/>
      <c r="M75" s="235"/>
      <c r="N75" s="235"/>
      <c r="O75" s="235"/>
      <c r="P75" s="235"/>
      <c r="Q75" s="235"/>
      <c r="R75" s="235"/>
    </row>
    <row r="76" spans="6:18">
      <c r="F76" s="235"/>
      <c r="G76" s="235"/>
      <c r="H76" s="235"/>
      <c r="I76" s="235"/>
      <c r="J76" s="235"/>
      <c r="K76" s="235"/>
      <c r="L76" s="235"/>
      <c r="M76" s="235"/>
      <c r="N76" s="235"/>
      <c r="O76" s="235"/>
      <c r="P76" s="235"/>
      <c r="Q76" s="235"/>
      <c r="R76" s="235"/>
    </row>
    <row r="77" spans="6:18">
      <c r="F77" s="235"/>
      <c r="G77" s="235"/>
      <c r="H77" s="235"/>
      <c r="I77" s="235"/>
      <c r="J77" s="235"/>
      <c r="K77" s="235"/>
      <c r="L77" s="235"/>
      <c r="M77" s="235"/>
      <c r="N77" s="235"/>
      <c r="O77" s="235"/>
      <c r="P77" s="235"/>
      <c r="Q77" s="235"/>
      <c r="R77" s="235"/>
    </row>
    <row r="78" spans="6:18">
      <c r="F78" s="235"/>
      <c r="G78" s="235"/>
      <c r="H78" s="235"/>
      <c r="I78" s="235"/>
      <c r="J78" s="235"/>
      <c r="K78" s="235"/>
      <c r="L78" s="235"/>
      <c r="M78" s="235"/>
      <c r="N78" s="235"/>
      <c r="O78" s="235"/>
      <c r="P78" s="235"/>
      <c r="Q78" s="235"/>
      <c r="R78" s="235"/>
    </row>
    <row r="79" spans="6:18">
      <c r="F79" s="235"/>
      <c r="G79" s="235"/>
      <c r="H79" s="235"/>
      <c r="I79" s="235"/>
      <c r="J79" s="235"/>
      <c r="K79" s="235"/>
      <c r="L79" s="235"/>
      <c r="M79" s="235"/>
      <c r="N79" s="235"/>
      <c r="O79" s="235"/>
      <c r="P79" s="235"/>
      <c r="Q79" s="235"/>
      <c r="R79" s="235"/>
    </row>
    <row r="80" spans="6:18">
      <c r="F80" s="235"/>
      <c r="G80" s="235"/>
      <c r="H80" s="235"/>
      <c r="I80" s="235"/>
      <c r="J80" s="235"/>
      <c r="K80" s="235"/>
      <c r="L80" s="235"/>
      <c r="M80" s="235"/>
      <c r="N80" s="235"/>
      <c r="O80" s="235"/>
      <c r="P80" s="235"/>
      <c r="Q80" s="235"/>
      <c r="R80" s="235"/>
    </row>
    <row r="81" spans="6:18">
      <c r="F81" s="235"/>
      <c r="G81" s="235"/>
      <c r="H81" s="235"/>
      <c r="I81" s="235"/>
      <c r="J81" s="235"/>
      <c r="K81" s="235"/>
      <c r="L81" s="235"/>
      <c r="M81" s="235"/>
      <c r="N81" s="235"/>
      <c r="O81" s="235"/>
      <c r="P81" s="235"/>
      <c r="Q81" s="235"/>
      <c r="R81" s="235"/>
    </row>
    <row r="82" spans="6:18">
      <c r="F82" s="235"/>
      <c r="G82" s="235"/>
      <c r="H82" s="235"/>
      <c r="I82" s="235"/>
      <c r="J82" s="235"/>
      <c r="K82" s="235"/>
      <c r="L82" s="235"/>
      <c r="M82" s="235"/>
      <c r="N82" s="235"/>
      <c r="O82" s="235"/>
      <c r="P82" s="235"/>
      <c r="Q82" s="235"/>
      <c r="R82" s="235"/>
    </row>
    <row r="83" spans="6:18">
      <c r="F83" s="235"/>
      <c r="G83" s="235"/>
      <c r="H83" s="235"/>
      <c r="I83" s="235"/>
      <c r="J83" s="235"/>
      <c r="K83" s="235"/>
      <c r="L83" s="235"/>
      <c r="M83" s="235"/>
      <c r="N83" s="235"/>
      <c r="O83" s="235"/>
      <c r="P83" s="235"/>
      <c r="Q83" s="235"/>
      <c r="R83" s="235"/>
    </row>
    <row r="84" spans="6:18">
      <c r="F84" s="235"/>
      <c r="G84" s="235"/>
      <c r="H84" s="235"/>
      <c r="I84" s="235"/>
      <c r="J84" s="235"/>
      <c r="K84" s="235"/>
      <c r="L84" s="235"/>
      <c r="M84" s="235"/>
      <c r="N84" s="235"/>
      <c r="O84" s="235"/>
      <c r="P84" s="235"/>
      <c r="Q84" s="235"/>
      <c r="R84" s="235"/>
    </row>
    <row r="85" spans="6:18">
      <c r="F85" s="235"/>
      <c r="G85" s="235"/>
      <c r="H85" s="235"/>
      <c r="I85" s="235"/>
      <c r="J85" s="235"/>
      <c r="K85" s="235"/>
      <c r="L85" s="235"/>
      <c r="M85" s="235"/>
      <c r="N85" s="235"/>
      <c r="O85" s="235"/>
      <c r="P85" s="235"/>
      <c r="Q85" s="235"/>
      <c r="R85" s="235"/>
    </row>
    <row r="86" spans="6:18">
      <c r="F86" s="235"/>
      <c r="G86" s="235"/>
      <c r="H86" s="235"/>
      <c r="I86" s="235"/>
      <c r="J86" s="235"/>
      <c r="K86" s="235"/>
      <c r="L86" s="235"/>
      <c r="M86" s="235"/>
      <c r="N86" s="235"/>
      <c r="O86" s="235"/>
      <c r="P86" s="235"/>
      <c r="Q86" s="235"/>
      <c r="R86" s="235"/>
    </row>
    <row r="87" spans="6:18">
      <c r="F87" s="235"/>
      <c r="G87" s="235"/>
      <c r="H87" s="235"/>
      <c r="I87" s="235"/>
      <c r="J87" s="235"/>
      <c r="K87" s="235"/>
      <c r="L87" s="235"/>
      <c r="M87" s="235"/>
      <c r="N87" s="235"/>
      <c r="O87" s="235"/>
      <c r="P87" s="235"/>
      <c r="Q87" s="235"/>
      <c r="R87" s="235"/>
    </row>
    <row r="88" spans="6:18">
      <c r="F88" s="235"/>
      <c r="G88" s="235"/>
      <c r="H88" s="235"/>
      <c r="I88" s="235"/>
      <c r="J88" s="235"/>
      <c r="K88" s="235"/>
      <c r="L88" s="235"/>
      <c r="M88" s="235"/>
      <c r="N88" s="235"/>
      <c r="O88" s="235"/>
      <c r="P88" s="235"/>
      <c r="Q88" s="235"/>
      <c r="R88" s="235"/>
    </row>
    <row r="89" spans="6:18">
      <c r="F89" s="235"/>
      <c r="G89" s="235"/>
      <c r="H89" s="235"/>
      <c r="I89" s="235"/>
      <c r="J89" s="235"/>
      <c r="K89" s="235"/>
      <c r="L89" s="235"/>
      <c r="M89" s="235"/>
      <c r="N89" s="235"/>
      <c r="O89" s="235"/>
      <c r="P89" s="235"/>
      <c r="Q89" s="235"/>
      <c r="R89" s="235"/>
    </row>
    <row r="90" spans="6:18">
      <c r="F90" s="235"/>
      <c r="G90" s="235"/>
      <c r="H90" s="235"/>
      <c r="I90" s="235"/>
      <c r="J90" s="235"/>
      <c r="K90" s="235"/>
      <c r="L90" s="235"/>
      <c r="M90" s="235"/>
      <c r="N90" s="235"/>
      <c r="O90" s="235"/>
      <c r="P90" s="235"/>
      <c r="Q90" s="235"/>
      <c r="R90" s="235"/>
    </row>
    <row r="91" spans="6:18">
      <c r="F91" s="235"/>
      <c r="G91" s="235"/>
      <c r="H91" s="235"/>
      <c r="I91" s="235"/>
      <c r="J91" s="235"/>
      <c r="K91" s="235"/>
      <c r="L91" s="235"/>
      <c r="M91" s="235"/>
      <c r="N91" s="235"/>
      <c r="O91" s="235"/>
      <c r="P91" s="235"/>
      <c r="Q91" s="235"/>
      <c r="R91" s="235"/>
    </row>
    <row r="92" spans="6:18">
      <c r="F92" s="235"/>
      <c r="G92" s="235"/>
      <c r="H92" s="235"/>
      <c r="I92" s="235"/>
      <c r="J92" s="235"/>
      <c r="K92" s="235"/>
      <c r="L92" s="235"/>
      <c r="M92" s="235"/>
      <c r="N92" s="235"/>
      <c r="O92" s="235"/>
      <c r="P92" s="235"/>
      <c r="Q92" s="235"/>
      <c r="R92" s="235"/>
    </row>
    <row r="93" spans="6:18">
      <c r="F93" s="235"/>
      <c r="G93" s="235"/>
      <c r="H93" s="235"/>
      <c r="I93" s="235"/>
      <c r="J93" s="235"/>
      <c r="K93" s="235"/>
      <c r="L93" s="235"/>
      <c r="M93" s="235"/>
      <c r="N93" s="235"/>
      <c r="O93" s="235"/>
      <c r="P93" s="235"/>
      <c r="Q93" s="235"/>
      <c r="R93" s="235"/>
    </row>
    <row r="94" spans="6:18">
      <c r="F94" s="235"/>
      <c r="G94" s="235"/>
      <c r="H94" s="235"/>
      <c r="I94" s="235"/>
      <c r="J94" s="235"/>
      <c r="K94" s="235"/>
      <c r="L94" s="235"/>
      <c r="M94" s="235"/>
      <c r="N94" s="235"/>
      <c r="O94" s="235"/>
      <c r="P94" s="235"/>
      <c r="Q94" s="235"/>
      <c r="R94" s="235"/>
    </row>
    <row r="95" spans="6:18">
      <c r="F95" s="235"/>
      <c r="G95" s="235"/>
      <c r="H95" s="235"/>
      <c r="I95" s="235"/>
      <c r="J95" s="235"/>
      <c r="K95" s="235"/>
      <c r="L95" s="235"/>
      <c r="M95" s="235"/>
      <c r="N95" s="235"/>
      <c r="O95" s="235"/>
      <c r="P95" s="235"/>
      <c r="Q95" s="235"/>
      <c r="R95" s="235"/>
    </row>
    <row r="96" spans="6:18">
      <c r="F96" s="235"/>
      <c r="G96" s="235"/>
      <c r="H96" s="235"/>
      <c r="I96" s="235"/>
      <c r="J96" s="235"/>
      <c r="K96" s="235"/>
      <c r="L96" s="235"/>
      <c r="M96" s="235"/>
      <c r="N96" s="235"/>
      <c r="O96" s="235"/>
      <c r="P96" s="235"/>
      <c r="Q96" s="235"/>
      <c r="R96" s="235"/>
    </row>
    <row r="97" spans="6:18">
      <c r="F97" s="235"/>
      <c r="G97" s="235"/>
      <c r="H97" s="235"/>
      <c r="I97" s="235"/>
      <c r="J97" s="235"/>
      <c r="K97" s="235"/>
      <c r="L97" s="235"/>
      <c r="M97" s="235"/>
      <c r="N97" s="235"/>
      <c r="O97" s="235"/>
      <c r="P97" s="235"/>
      <c r="Q97" s="235"/>
      <c r="R97" s="235"/>
    </row>
    <row r="98" spans="6:18">
      <c r="F98" s="235"/>
      <c r="G98" s="235"/>
      <c r="H98" s="235"/>
      <c r="I98" s="235"/>
      <c r="J98" s="235"/>
      <c r="K98" s="235"/>
      <c r="L98" s="235"/>
      <c r="M98" s="235"/>
      <c r="N98" s="235"/>
      <c r="O98" s="235"/>
      <c r="P98" s="235"/>
      <c r="Q98" s="235"/>
      <c r="R98" s="235"/>
    </row>
    <row r="99" spans="6:18">
      <c r="F99" s="235"/>
      <c r="G99" s="235"/>
      <c r="H99" s="235"/>
      <c r="I99" s="235"/>
      <c r="J99" s="235"/>
      <c r="K99" s="235"/>
      <c r="L99" s="235"/>
      <c r="M99" s="235"/>
      <c r="N99" s="235"/>
      <c r="O99" s="235"/>
      <c r="P99" s="235"/>
      <c r="Q99" s="235"/>
      <c r="R99" s="235"/>
    </row>
    <row r="100" spans="6:18">
      <c r="F100" s="235"/>
      <c r="G100" s="235"/>
      <c r="H100" s="235"/>
      <c r="I100" s="235"/>
      <c r="J100" s="235"/>
      <c r="K100" s="235"/>
      <c r="L100" s="235"/>
      <c r="M100" s="235"/>
      <c r="N100" s="235"/>
      <c r="O100" s="235"/>
      <c r="P100" s="235"/>
      <c r="Q100" s="235"/>
      <c r="R100" s="235"/>
    </row>
    <row r="101" spans="6:18">
      <c r="F101" s="235"/>
      <c r="G101" s="235"/>
      <c r="H101" s="235"/>
      <c r="I101" s="235"/>
      <c r="J101" s="235"/>
      <c r="K101" s="235"/>
      <c r="L101" s="235"/>
      <c r="M101" s="235"/>
      <c r="N101" s="235"/>
      <c r="O101" s="235"/>
      <c r="P101" s="235"/>
      <c r="Q101" s="235"/>
      <c r="R101" s="235"/>
    </row>
    <row r="102" spans="6:18">
      <c r="F102" s="235"/>
      <c r="G102" s="235"/>
      <c r="H102" s="235"/>
      <c r="I102" s="235"/>
      <c r="J102" s="235"/>
      <c r="K102" s="235"/>
      <c r="L102" s="235"/>
      <c r="M102" s="235"/>
      <c r="N102" s="235"/>
      <c r="O102" s="235"/>
      <c r="P102" s="235"/>
      <c r="Q102" s="235"/>
      <c r="R102" s="235"/>
    </row>
    <row r="103" spans="6:18">
      <c r="F103" s="235"/>
      <c r="G103" s="235"/>
      <c r="H103" s="235"/>
      <c r="I103" s="235"/>
      <c r="J103" s="235"/>
      <c r="K103" s="235"/>
      <c r="L103" s="235"/>
      <c r="M103" s="235"/>
      <c r="N103" s="235"/>
      <c r="O103" s="235"/>
      <c r="P103" s="235"/>
      <c r="Q103" s="235"/>
      <c r="R103" s="235"/>
    </row>
    <row r="104" spans="6:18">
      <c r="F104" s="235"/>
      <c r="G104" s="235"/>
      <c r="H104" s="235"/>
      <c r="I104" s="235"/>
      <c r="J104" s="235"/>
      <c r="K104" s="235"/>
      <c r="L104" s="235"/>
      <c r="M104" s="235"/>
      <c r="N104" s="235"/>
      <c r="O104" s="235"/>
      <c r="P104" s="235"/>
      <c r="Q104" s="235"/>
      <c r="R104" s="235"/>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zoomScale="70" zoomScaleSheetLayoutView="70" workbookViewId="0">
      <selection activeCell="K27" sqref="K27"/>
    </sheetView>
  </sheetViews>
  <sheetFormatPr baseColWidth="10" defaultRowHeight="12.75"/>
  <cols>
    <col min="1" max="4" width="3" style="212" customWidth="1"/>
    <col min="5" max="5" width="42.7109375" style="212" customWidth="1"/>
    <col min="6" max="8" width="17.7109375" style="212" bestFit="1" customWidth="1"/>
    <col min="9" max="9" width="17.140625" style="212" customWidth="1"/>
    <col min="10" max="10" width="16.7109375" style="212" customWidth="1"/>
    <col min="11" max="11" width="16.85546875" style="212" customWidth="1"/>
    <col min="12" max="13" width="16.5703125" style="212" customWidth="1"/>
    <col min="14" max="15" width="16.7109375" style="212" customWidth="1"/>
    <col min="16" max="16" width="16.85546875" style="212" customWidth="1"/>
    <col min="17" max="17" width="17.5703125" style="212" customWidth="1"/>
    <col min="18" max="18" width="19.28515625" style="212" customWidth="1"/>
    <col min="19" max="19" width="21.28515625" style="212" bestFit="1" customWidth="1"/>
    <col min="20" max="20" width="19.85546875" style="212" bestFit="1" customWidth="1"/>
    <col min="21" max="16384" width="11.42578125" style="212"/>
  </cols>
  <sheetData>
    <row r="3" spans="5:22" s="207" customFormat="1" ht="24">
      <c r="E3" s="203"/>
      <c r="F3" s="204"/>
      <c r="G3" s="204"/>
      <c r="H3" s="205"/>
      <c r="I3" s="205"/>
      <c r="J3" s="205"/>
      <c r="K3" s="205"/>
      <c r="L3" s="205"/>
      <c r="M3" s="205"/>
      <c r="N3" s="205"/>
      <c r="O3" s="205"/>
      <c r="P3" s="206"/>
      <c r="Q3" s="206"/>
      <c r="R3" s="206"/>
      <c r="S3" s="206"/>
      <c r="T3" s="206"/>
      <c r="U3" s="206"/>
      <c r="V3" s="206"/>
    </row>
    <row r="4" spans="5:22" s="207" customFormat="1" ht="24">
      <c r="E4" s="208" t="s">
        <v>152</v>
      </c>
      <c r="F4" s="209"/>
      <c r="G4" s="167"/>
      <c r="H4" s="209"/>
      <c r="I4" s="209"/>
      <c r="J4" s="209"/>
      <c r="K4" s="209"/>
      <c r="L4" s="209"/>
      <c r="M4" s="209"/>
      <c r="N4" s="209"/>
      <c r="O4" s="209"/>
      <c r="P4" s="210"/>
      <c r="Q4" s="210"/>
      <c r="R4" s="210"/>
      <c r="S4" s="206"/>
      <c r="T4" s="206"/>
      <c r="U4" s="206"/>
      <c r="V4" s="206"/>
    </row>
    <row r="5" spans="5:22" s="207" customFormat="1" ht="24">
      <c r="E5" s="211" t="s">
        <v>59</v>
      </c>
      <c r="F5" s="209"/>
      <c r="G5" s="209"/>
      <c r="H5" s="209"/>
      <c r="I5" s="209"/>
      <c r="J5" s="209"/>
      <c r="K5" s="209"/>
      <c r="L5" s="209"/>
      <c r="M5" s="209"/>
      <c r="N5" s="209"/>
      <c r="O5" s="209"/>
      <c r="S5" s="206"/>
      <c r="T5" s="206"/>
      <c r="U5" s="206"/>
      <c r="V5" s="206"/>
    </row>
    <row r="6" spans="5:22" s="207" customFormat="1" ht="24">
      <c r="E6" s="211" t="s">
        <v>75</v>
      </c>
      <c r="F6" s="209"/>
      <c r="G6" s="209"/>
      <c r="H6" s="209"/>
      <c r="I6" s="209"/>
      <c r="J6" s="209"/>
      <c r="K6" s="209"/>
      <c r="L6" s="209"/>
      <c r="M6" s="209"/>
      <c r="N6" s="209"/>
      <c r="O6" s="209"/>
      <c r="S6" s="206"/>
      <c r="T6" s="206"/>
      <c r="U6" s="206"/>
      <c r="V6" s="206"/>
    </row>
    <row r="7" spans="5:22" ht="15.75" customHeight="1">
      <c r="E7" s="211" t="s">
        <v>76</v>
      </c>
      <c r="F7" s="209"/>
      <c r="G7" s="209"/>
      <c r="H7" s="209"/>
      <c r="I7" s="209"/>
      <c r="J7" s="209"/>
      <c r="K7" s="209"/>
      <c r="L7" s="209"/>
      <c r="M7" s="209"/>
      <c r="N7" s="209"/>
      <c r="O7" s="209"/>
      <c r="P7" s="209"/>
      <c r="Q7" s="209"/>
      <c r="R7" s="209"/>
      <c r="S7" s="206"/>
      <c r="T7" s="206"/>
      <c r="U7" s="206"/>
      <c r="V7" s="206"/>
    </row>
    <row r="8" spans="5:22" ht="15.75" customHeight="1">
      <c r="E8" s="211" t="s">
        <v>133</v>
      </c>
      <c r="F8" s="209"/>
      <c r="G8" s="209"/>
      <c r="H8" s="209"/>
      <c r="I8" s="209"/>
      <c r="J8" s="209"/>
      <c r="K8" s="209"/>
      <c r="L8" s="209"/>
      <c r="M8" s="209"/>
      <c r="N8" s="209"/>
      <c r="O8" s="209"/>
      <c r="P8" s="365" t="s">
        <v>64</v>
      </c>
      <c r="Q8" s="365"/>
      <c r="R8" s="365"/>
      <c r="S8" s="206"/>
      <c r="T8" s="206"/>
      <c r="U8" s="206"/>
      <c r="V8" s="206"/>
    </row>
    <row r="9" spans="5:22" ht="20.25" customHeight="1" thickBot="1">
      <c r="E9" s="166"/>
      <c r="F9" s="209"/>
      <c r="G9" s="209"/>
      <c r="H9" s="209"/>
      <c r="I9" s="209"/>
      <c r="J9" s="209"/>
      <c r="K9" s="209"/>
      <c r="L9" s="209"/>
      <c r="M9" s="209"/>
      <c r="N9" s="209"/>
      <c r="O9" s="209"/>
      <c r="P9" s="365"/>
      <c r="Q9" s="365"/>
      <c r="R9" s="365"/>
      <c r="S9" s="206"/>
      <c r="T9" s="206"/>
      <c r="U9" s="206"/>
      <c r="V9" s="206"/>
    </row>
    <row r="10" spans="5:22" ht="23.25" hidden="1" customHeight="1" thickBot="1">
      <c r="E10" s="166"/>
      <c r="F10" s="209"/>
      <c r="G10" s="209"/>
      <c r="H10" s="213"/>
      <c r="I10" s="209"/>
      <c r="J10" s="209"/>
      <c r="K10" s="209"/>
      <c r="L10" s="209"/>
      <c r="M10" s="209"/>
      <c r="N10" s="209"/>
      <c r="O10" s="209"/>
      <c r="P10" s="209"/>
      <c r="Q10" s="209"/>
      <c r="R10" s="209"/>
      <c r="S10" s="206"/>
      <c r="T10" s="206"/>
      <c r="U10" s="206"/>
      <c r="V10" s="206"/>
    </row>
    <row r="11" spans="5:22" s="48" customFormat="1" ht="24.75" customHeight="1" thickTop="1" thickBot="1">
      <c r="E11" s="214" t="s">
        <v>59</v>
      </c>
      <c r="F11" s="214" t="s">
        <v>0</v>
      </c>
      <c r="G11" s="214" t="s">
        <v>1</v>
      </c>
      <c r="H11" s="214" t="s">
        <v>2</v>
      </c>
      <c r="I11" s="214" t="s">
        <v>3</v>
      </c>
      <c r="J11" s="214" t="s">
        <v>4</v>
      </c>
      <c r="K11" s="214" t="s">
        <v>5</v>
      </c>
      <c r="L11" s="214" t="s">
        <v>6</v>
      </c>
      <c r="M11" s="214" t="s">
        <v>7</v>
      </c>
      <c r="N11" s="214" t="s">
        <v>8</v>
      </c>
      <c r="O11" s="214" t="s">
        <v>9</v>
      </c>
      <c r="P11" s="214" t="s">
        <v>10</v>
      </c>
      <c r="Q11" s="214" t="s">
        <v>11</v>
      </c>
      <c r="R11" s="214" t="s">
        <v>134</v>
      </c>
      <c r="S11" s="215"/>
      <c r="T11" s="215"/>
      <c r="U11" s="215"/>
      <c r="V11" s="215"/>
    </row>
    <row r="12" spans="5:22" s="48" customFormat="1" ht="29.25" customHeight="1" thickTop="1">
      <c r="E12" s="125" t="s">
        <v>97</v>
      </c>
      <c r="F12" s="126">
        <f t="shared" ref="F12:Q12" si="0">+F13+F48</f>
        <v>4735972</v>
      </c>
      <c r="G12" s="126">
        <f t="shared" si="0"/>
        <v>6776716</v>
      </c>
      <c r="H12" s="126">
        <f t="shared" si="0"/>
        <v>7151352</v>
      </c>
      <c r="I12" s="126">
        <f t="shared" si="0"/>
        <v>6686400</v>
      </c>
      <c r="J12" s="126">
        <f t="shared" si="0"/>
        <v>7829470</v>
      </c>
      <c r="K12" s="126">
        <f t="shared" si="0"/>
        <v>7045131</v>
      </c>
      <c r="L12" s="126">
        <f t="shared" si="0"/>
        <v>6993131</v>
      </c>
      <c r="M12" s="126">
        <f t="shared" si="0"/>
        <v>6639471</v>
      </c>
      <c r="N12" s="126">
        <f t="shared" si="0"/>
        <v>6826005</v>
      </c>
      <c r="O12" s="126">
        <f t="shared" si="0"/>
        <v>6699652</v>
      </c>
      <c r="P12" s="126">
        <f t="shared" si="0"/>
        <v>6355619</v>
      </c>
      <c r="Q12" s="126">
        <f t="shared" si="0"/>
        <v>10908538</v>
      </c>
      <c r="R12" s="126">
        <f>SUM(F12:Q12)</f>
        <v>84647457</v>
      </c>
      <c r="S12" s="216"/>
      <c r="T12" s="190"/>
      <c r="U12" s="190"/>
      <c r="V12" s="190"/>
    </row>
    <row r="13" spans="5:22" s="48" customFormat="1" ht="31.5" customHeight="1">
      <c r="E13" s="128" t="s">
        <v>89</v>
      </c>
      <c r="F13" s="129">
        <f t="shared" ref="F13:Q13" si="1">+F14+F38+F45</f>
        <v>4735972</v>
      </c>
      <c r="G13" s="129">
        <f t="shared" si="1"/>
        <v>6776716</v>
      </c>
      <c r="H13" s="129">
        <f t="shared" si="1"/>
        <v>7151352</v>
      </c>
      <c r="I13" s="129">
        <f t="shared" si="1"/>
        <v>6686400</v>
      </c>
      <c r="J13" s="129">
        <f t="shared" si="1"/>
        <v>7829470</v>
      </c>
      <c r="K13" s="129">
        <f t="shared" si="1"/>
        <v>7045131</v>
      </c>
      <c r="L13" s="129">
        <f t="shared" si="1"/>
        <v>6993131</v>
      </c>
      <c r="M13" s="129">
        <f t="shared" si="1"/>
        <v>6639471</v>
      </c>
      <c r="N13" s="129">
        <f t="shared" si="1"/>
        <v>6826005</v>
      </c>
      <c r="O13" s="129">
        <f t="shared" si="1"/>
        <v>6699652</v>
      </c>
      <c r="P13" s="129">
        <f t="shared" si="1"/>
        <v>6355619</v>
      </c>
      <c r="Q13" s="129">
        <f t="shared" si="1"/>
        <v>10908538</v>
      </c>
      <c r="R13" s="129">
        <f>SUM(F13:Q13)</f>
        <v>84647457</v>
      </c>
      <c r="S13" s="217"/>
      <c r="T13" s="190"/>
      <c r="U13" s="190"/>
      <c r="V13" s="190"/>
    </row>
    <row r="14" spans="5:22" s="4" customFormat="1" ht="25.5" customHeight="1">
      <c r="E14" s="130" t="s">
        <v>90</v>
      </c>
      <c r="F14" s="131">
        <f t="shared" ref="F14:Q14" si="2">F16+F18+F23+F26+F30</f>
        <v>4735972</v>
      </c>
      <c r="G14" s="131">
        <f t="shared" si="2"/>
        <v>4497038</v>
      </c>
      <c r="H14" s="131">
        <f t="shared" si="2"/>
        <v>4871674</v>
      </c>
      <c r="I14" s="131">
        <f t="shared" si="2"/>
        <v>4406722</v>
      </c>
      <c r="J14" s="131">
        <f t="shared" si="2"/>
        <v>5549792</v>
      </c>
      <c r="K14" s="131">
        <f t="shared" si="2"/>
        <v>4765453</v>
      </c>
      <c r="L14" s="131">
        <f t="shared" si="2"/>
        <v>4713453</v>
      </c>
      <c r="M14" s="131">
        <f t="shared" si="2"/>
        <v>4359793</v>
      </c>
      <c r="N14" s="131">
        <f t="shared" si="2"/>
        <v>4546327</v>
      </c>
      <c r="O14" s="131">
        <f t="shared" si="2"/>
        <v>4419974</v>
      </c>
      <c r="P14" s="131">
        <f t="shared" si="2"/>
        <v>4075941</v>
      </c>
      <c r="Q14" s="131">
        <f t="shared" si="2"/>
        <v>5628861</v>
      </c>
      <c r="R14" s="131">
        <f>SUM(F14:Q14)</f>
        <v>56571000</v>
      </c>
      <c r="S14" s="216"/>
      <c r="T14" s="98"/>
    </row>
    <row r="15" spans="5:22" s="4" customFormat="1" ht="25.5" customHeight="1">
      <c r="E15" s="134"/>
      <c r="F15" s="131"/>
      <c r="G15" s="131"/>
      <c r="H15" s="131"/>
      <c r="I15" s="131"/>
      <c r="J15" s="131"/>
      <c r="K15" s="131"/>
      <c r="L15" s="131"/>
      <c r="M15" s="131"/>
      <c r="N15" s="131"/>
      <c r="O15" s="131"/>
      <c r="P15" s="131"/>
      <c r="Q15" s="131"/>
      <c r="R15" s="131"/>
      <c r="S15" s="98"/>
      <c r="T15" s="98"/>
    </row>
    <row r="16" spans="5:22" s="4" customFormat="1" ht="20.100000000000001" customHeight="1">
      <c r="E16" s="134" t="s">
        <v>14</v>
      </c>
      <c r="F16" s="135"/>
      <c r="G16" s="135"/>
      <c r="H16" s="135"/>
      <c r="I16" s="135"/>
      <c r="J16" s="135"/>
      <c r="K16" s="135"/>
      <c r="L16" s="135"/>
      <c r="M16" s="135"/>
      <c r="N16" s="135"/>
      <c r="O16" s="135"/>
      <c r="P16" s="135"/>
      <c r="Q16" s="135"/>
      <c r="R16" s="131"/>
      <c r="S16" s="48"/>
      <c r="T16" s="48"/>
    </row>
    <row r="17" spans="5:20" s="4" customFormat="1" ht="20.100000000000001" customHeight="1">
      <c r="E17" s="134"/>
      <c r="F17" s="135"/>
      <c r="G17" s="135"/>
      <c r="H17" s="135"/>
      <c r="I17" s="135"/>
      <c r="J17" s="135"/>
      <c r="K17" s="135"/>
      <c r="L17" s="135"/>
      <c r="M17" s="135"/>
      <c r="N17" s="135"/>
      <c r="O17" s="135"/>
      <c r="P17" s="135"/>
      <c r="Q17" s="135"/>
      <c r="R17" s="131"/>
      <c r="S17" s="48"/>
      <c r="T17" s="48"/>
    </row>
    <row r="18" spans="5:20" s="4" customFormat="1" ht="20.100000000000001" customHeight="1">
      <c r="E18" s="134" t="s">
        <v>15</v>
      </c>
      <c r="F18" s="131">
        <f>SUM(F19:F22)</f>
        <v>4617770</v>
      </c>
      <c r="G18" s="131">
        <f t="shared" ref="G18:R18" si="3">SUM(G19:G22)</f>
        <v>4367810</v>
      </c>
      <c r="H18" s="131">
        <f t="shared" si="3"/>
        <v>4748290</v>
      </c>
      <c r="I18" s="131">
        <f t="shared" si="3"/>
        <v>4295040</v>
      </c>
      <c r="J18" s="131">
        <f t="shared" si="3"/>
        <v>4288600</v>
      </c>
      <c r="K18" s="131">
        <f t="shared" si="3"/>
        <v>4644670</v>
      </c>
      <c r="L18" s="131">
        <f t="shared" si="3"/>
        <v>4595620</v>
      </c>
      <c r="M18" s="131">
        <f t="shared" si="3"/>
        <v>4250890</v>
      </c>
      <c r="N18" s="131">
        <f t="shared" si="3"/>
        <v>4433600</v>
      </c>
      <c r="O18" s="131">
        <f t="shared" si="3"/>
        <v>4310360</v>
      </c>
      <c r="P18" s="131">
        <f t="shared" si="3"/>
        <v>3946040</v>
      </c>
      <c r="Q18" s="131">
        <f t="shared" si="3"/>
        <v>5485890</v>
      </c>
      <c r="R18" s="131">
        <f t="shared" si="3"/>
        <v>53984580</v>
      </c>
      <c r="S18" s="218"/>
      <c r="T18" s="218"/>
    </row>
    <row r="19" spans="5:20" s="4" customFormat="1" ht="20.100000000000001" customHeight="1">
      <c r="E19" s="137" t="s">
        <v>106</v>
      </c>
      <c r="F19" s="135">
        <v>3633330</v>
      </c>
      <c r="G19" s="135">
        <v>3383370</v>
      </c>
      <c r="H19" s="135">
        <v>3763850</v>
      </c>
      <c r="I19" s="135">
        <v>3310600</v>
      </c>
      <c r="J19" s="135">
        <v>3304160</v>
      </c>
      <c r="K19" s="135">
        <v>3660230</v>
      </c>
      <c r="L19" s="135">
        <v>3611180</v>
      </c>
      <c r="M19" s="135">
        <v>3266450</v>
      </c>
      <c r="N19" s="135">
        <v>3449160</v>
      </c>
      <c r="O19" s="135">
        <v>3325920</v>
      </c>
      <c r="P19" s="135">
        <v>2961600</v>
      </c>
      <c r="Q19" s="135">
        <v>4501450</v>
      </c>
      <c r="R19" s="136">
        <f t="shared" ref="R19:R24" si="4">SUM(F19:Q19)</f>
        <v>42171300</v>
      </c>
      <c r="S19" s="218"/>
      <c r="T19" s="100"/>
    </row>
    <row r="20" spans="5:20" s="4" customFormat="1" ht="20.100000000000001" customHeight="1">
      <c r="E20" s="137" t="s">
        <v>107</v>
      </c>
      <c r="F20" s="135">
        <v>206440</v>
      </c>
      <c r="G20" s="135">
        <v>206440</v>
      </c>
      <c r="H20" s="135">
        <v>206440</v>
      </c>
      <c r="I20" s="135">
        <v>206440</v>
      </c>
      <c r="J20" s="135">
        <v>206440</v>
      </c>
      <c r="K20" s="135">
        <v>206440</v>
      </c>
      <c r="L20" s="135">
        <v>206440</v>
      </c>
      <c r="M20" s="135">
        <v>206440</v>
      </c>
      <c r="N20" s="135">
        <v>206440</v>
      </c>
      <c r="O20" s="135">
        <v>206440</v>
      </c>
      <c r="P20" s="135">
        <v>206440</v>
      </c>
      <c r="Q20" s="135">
        <v>206440</v>
      </c>
      <c r="R20" s="136">
        <f t="shared" si="4"/>
        <v>2477280</v>
      </c>
      <c r="S20" s="218"/>
      <c r="T20" s="100"/>
    </row>
    <row r="21" spans="5:20" s="4" customFormat="1" ht="20.100000000000001" customHeight="1">
      <c r="E21" s="137" t="s">
        <v>135</v>
      </c>
      <c r="F21" s="135">
        <v>490000</v>
      </c>
      <c r="G21" s="135">
        <v>490000</v>
      </c>
      <c r="H21" s="135">
        <v>490000</v>
      </c>
      <c r="I21" s="135">
        <v>490000</v>
      </c>
      <c r="J21" s="135">
        <v>490000</v>
      </c>
      <c r="K21" s="135">
        <v>490000</v>
      </c>
      <c r="L21" s="135">
        <v>490000</v>
      </c>
      <c r="M21" s="135">
        <v>490000</v>
      </c>
      <c r="N21" s="135">
        <v>490000</v>
      </c>
      <c r="O21" s="135">
        <v>490000</v>
      </c>
      <c r="P21" s="135">
        <v>490000</v>
      </c>
      <c r="Q21" s="135">
        <v>490000</v>
      </c>
      <c r="R21" s="136">
        <f t="shared" si="4"/>
        <v>5880000</v>
      </c>
      <c r="S21" s="218"/>
      <c r="T21" s="100"/>
    </row>
    <row r="22" spans="5:20" s="4" customFormat="1" ht="20.100000000000001" customHeight="1">
      <c r="E22" s="137" t="s">
        <v>136</v>
      </c>
      <c r="F22" s="135">
        <v>288000</v>
      </c>
      <c r="G22" s="135">
        <v>288000</v>
      </c>
      <c r="H22" s="135">
        <v>288000</v>
      </c>
      <c r="I22" s="135">
        <v>288000</v>
      </c>
      <c r="J22" s="135">
        <v>288000</v>
      </c>
      <c r="K22" s="135">
        <v>288000</v>
      </c>
      <c r="L22" s="135">
        <v>288000</v>
      </c>
      <c r="M22" s="135">
        <v>288000</v>
      </c>
      <c r="N22" s="135">
        <v>288000</v>
      </c>
      <c r="O22" s="135">
        <v>288000</v>
      </c>
      <c r="P22" s="135">
        <v>288000</v>
      </c>
      <c r="Q22" s="135">
        <v>288000</v>
      </c>
      <c r="R22" s="136">
        <f t="shared" si="4"/>
        <v>3456000</v>
      </c>
      <c r="S22" s="218"/>
      <c r="T22" s="100"/>
    </row>
    <row r="23" spans="5:20" s="4" customFormat="1" ht="20.100000000000001" customHeight="1">
      <c r="E23" s="219"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8"/>
      <c r="T23" s="100"/>
    </row>
    <row r="24" spans="5:20" s="4" customFormat="1" ht="20.100000000000001" customHeight="1">
      <c r="E24" s="220" t="s">
        <v>105</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8"/>
      <c r="T24" s="100"/>
    </row>
    <row r="25" spans="5:20" s="4" customFormat="1" ht="20.100000000000001" customHeight="1">
      <c r="E25" s="138"/>
      <c r="F25" s="135"/>
      <c r="G25" s="135"/>
      <c r="H25" s="135"/>
      <c r="I25" s="135"/>
      <c r="J25" s="135"/>
      <c r="K25" s="135"/>
      <c r="L25" s="135"/>
      <c r="M25" s="135"/>
      <c r="N25" s="135"/>
      <c r="O25" s="135"/>
      <c r="P25" s="135"/>
      <c r="Q25" s="135"/>
      <c r="R25" s="136"/>
      <c r="S25" s="218"/>
      <c r="T25" s="218"/>
    </row>
    <row r="26" spans="5:20" s="4" customFormat="1" ht="20.100000000000001" customHeight="1">
      <c r="E26" s="134" t="s">
        <v>17</v>
      </c>
      <c r="F26" s="131">
        <f t="shared" ref="F26:Q26" si="6">SUM(F27:F28)+F34</f>
        <v>15000</v>
      </c>
      <c r="G26" s="131">
        <f t="shared" si="6"/>
        <v>14360</v>
      </c>
      <c r="H26" s="131">
        <f t="shared" si="6"/>
        <v>16340</v>
      </c>
      <c r="I26" s="131">
        <f t="shared" si="6"/>
        <v>17780</v>
      </c>
      <c r="J26" s="131">
        <f t="shared" si="6"/>
        <v>1167510</v>
      </c>
      <c r="K26" s="131">
        <f t="shared" si="6"/>
        <v>16900</v>
      </c>
      <c r="L26" s="131">
        <f t="shared" si="6"/>
        <v>15200</v>
      </c>
      <c r="M26" s="131">
        <f t="shared" si="6"/>
        <v>16140</v>
      </c>
      <c r="N26" s="131">
        <f t="shared" si="6"/>
        <v>14770</v>
      </c>
      <c r="O26" s="131">
        <f t="shared" si="6"/>
        <v>15200</v>
      </c>
      <c r="P26" s="131">
        <f t="shared" si="6"/>
        <v>14240</v>
      </c>
      <c r="Q26" s="131">
        <f t="shared" si="6"/>
        <v>14800</v>
      </c>
      <c r="R26" s="136">
        <f>SUM(F26:Q26)</f>
        <v>1338240</v>
      </c>
      <c r="S26" s="48"/>
      <c r="T26" s="48"/>
    </row>
    <row r="27" spans="5:20" s="4" customFormat="1" ht="20.100000000000001" customHeight="1">
      <c r="E27" s="137" t="s">
        <v>109</v>
      </c>
      <c r="F27" s="135">
        <v>15000</v>
      </c>
      <c r="G27" s="135">
        <v>14360</v>
      </c>
      <c r="H27" s="135">
        <v>16340</v>
      </c>
      <c r="I27" s="135">
        <v>17780</v>
      </c>
      <c r="J27" s="135">
        <v>14510</v>
      </c>
      <c r="K27" s="135">
        <v>16900</v>
      </c>
      <c r="L27" s="135">
        <v>15200</v>
      </c>
      <c r="M27" s="135">
        <v>16140</v>
      </c>
      <c r="N27" s="135">
        <v>14770</v>
      </c>
      <c r="O27" s="135">
        <v>15200</v>
      </c>
      <c r="P27" s="158">
        <v>14240</v>
      </c>
      <c r="Q27" s="135">
        <v>14800</v>
      </c>
      <c r="R27" s="136">
        <f>SUM(F27:Q27)</f>
        <v>185240</v>
      </c>
      <c r="S27" s="218"/>
      <c r="T27" s="100"/>
    </row>
    <row r="28" spans="5:20" s="4" customFormat="1" ht="20.100000000000001" customHeight="1">
      <c r="E28" s="137"/>
      <c r="F28" s="135"/>
      <c r="G28" s="135"/>
      <c r="H28" s="135"/>
      <c r="I28" s="135"/>
      <c r="J28" s="135"/>
      <c r="K28" s="135"/>
      <c r="L28" s="135"/>
      <c r="M28" s="135"/>
      <c r="N28" s="135"/>
      <c r="O28" s="135"/>
      <c r="P28" s="135"/>
      <c r="Q28" s="135"/>
      <c r="R28" s="136"/>
      <c r="S28" s="48"/>
      <c r="T28" s="100"/>
    </row>
    <row r="29" spans="5:20" s="48" customFormat="1" ht="20.100000000000001" customHeight="1">
      <c r="E29" s="134"/>
      <c r="F29" s="135"/>
      <c r="G29" s="135"/>
      <c r="H29" s="135"/>
      <c r="I29" s="135"/>
      <c r="J29" s="135"/>
      <c r="K29" s="135"/>
      <c r="L29" s="135"/>
      <c r="M29" s="135"/>
      <c r="N29" s="135"/>
      <c r="O29" s="135"/>
      <c r="P29" s="135"/>
      <c r="Q29" s="135"/>
      <c r="R29" s="136"/>
    </row>
    <row r="30" spans="5:20" s="4" customFormat="1" ht="20.100000000000001" customHeight="1">
      <c r="E30" s="134" t="s">
        <v>26</v>
      </c>
      <c r="F30" s="139">
        <f t="shared" ref="F30:Q30" si="7">F31+F32</f>
        <v>0</v>
      </c>
      <c r="G30" s="139">
        <f t="shared" si="7"/>
        <v>0</v>
      </c>
      <c r="H30" s="139">
        <f t="shared" si="7"/>
        <v>0</v>
      </c>
      <c r="I30" s="139">
        <f t="shared" si="7"/>
        <v>0</v>
      </c>
      <c r="J30" s="139">
        <f t="shared" si="7"/>
        <v>0</v>
      </c>
      <c r="K30" s="139">
        <f t="shared" si="7"/>
        <v>0</v>
      </c>
      <c r="L30" s="139">
        <f t="shared" si="7"/>
        <v>0</v>
      </c>
      <c r="M30" s="139">
        <f t="shared" si="7"/>
        <v>0</v>
      </c>
      <c r="N30" s="139">
        <f t="shared" si="7"/>
        <v>0</v>
      </c>
      <c r="O30" s="139">
        <f t="shared" si="7"/>
        <v>0</v>
      </c>
      <c r="P30" s="139">
        <f t="shared" si="7"/>
        <v>0</v>
      </c>
      <c r="Q30" s="139">
        <f t="shared" si="7"/>
        <v>0</v>
      </c>
      <c r="R30" s="136">
        <f>SUM(F30:Q30)</f>
        <v>0</v>
      </c>
      <c r="S30" s="48"/>
      <c r="T30" s="48"/>
    </row>
    <row r="31" spans="5:20" s="4" customFormat="1" ht="20.25" customHeight="1">
      <c r="E31" s="137" t="s">
        <v>101</v>
      </c>
      <c r="F31" s="139"/>
      <c r="G31" s="139"/>
      <c r="H31" s="139"/>
      <c r="I31" s="139"/>
      <c r="J31" s="139"/>
      <c r="K31" s="139"/>
      <c r="L31" s="139"/>
      <c r="M31" s="139"/>
      <c r="N31" s="139"/>
      <c r="O31" s="139"/>
      <c r="P31" s="139"/>
      <c r="Q31" s="139"/>
      <c r="R31" s="136"/>
      <c r="S31" s="48"/>
      <c r="T31" s="48"/>
    </row>
    <row r="32" spans="5:20" s="4" customFormat="1" ht="20.25" customHeight="1">
      <c r="E32" s="137" t="s">
        <v>100</v>
      </c>
      <c r="F32" s="139"/>
      <c r="G32" s="139"/>
      <c r="H32" s="139"/>
      <c r="I32" s="139"/>
      <c r="J32" s="139"/>
      <c r="K32" s="139"/>
      <c r="L32" s="139"/>
      <c r="M32" s="139"/>
      <c r="N32" s="139"/>
      <c r="O32" s="139"/>
      <c r="P32" s="139"/>
      <c r="Q32" s="139"/>
      <c r="R32" s="136"/>
      <c r="S32" s="48"/>
      <c r="T32" s="48"/>
    </row>
    <row r="33" spans="5:20" s="4" customFormat="1" ht="20.25" customHeight="1">
      <c r="E33" s="140"/>
      <c r="F33" s="139"/>
      <c r="G33" s="139"/>
      <c r="H33" s="139"/>
      <c r="I33" s="139"/>
      <c r="J33" s="139"/>
      <c r="K33" s="139"/>
      <c r="L33" s="139"/>
      <c r="M33" s="139"/>
      <c r="N33" s="139"/>
      <c r="O33" s="139"/>
      <c r="P33" s="139"/>
      <c r="Q33" s="139"/>
      <c r="R33" s="136"/>
      <c r="S33" s="48"/>
      <c r="T33" s="48"/>
    </row>
    <row r="34" spans="5:20" s="4" customFormat="1" ht="19.5" customHeight="1">
      <c r="E34" s="134" t="s">
        <v>66</v>
      </c>
      <c r="F34" s="136">
        <f t="shared" ref="F34:Q34" si="8">SUM(F35:F36)</f>
        <v>0</v>
      </c>
      <c r="G34" s="136">
        <f t="shared" si="8"/>
        <v>0</v>
      </c>
      <c r="H34" s="136">
        <f t="shared" si="8"/>
        <v>0</v>
      </c>
      <c r="I34" s="136">
        <f t="shared" si="8"/>
        <v>0</v>
      </c>
      <c r="J34" s="136">
        <f t="shared" si="8"/>
        <v>1153000</v>
      </c>
      <c r="K34" s="136">
        <f t="shared" si="8"/>
        <v>0</v>
      </c>
      <c r="L34" s="136">
        <f t="shared" si="8"/>
        <v>0</v>
      </c>
      <c r="M34" s="136">
        <f t="shared" si="8"/>
        <v>0</v>
      </c>
      <c r="N34" s="136">
        <f t="shared" si="8"/>
        <v>0</v>
      </c>
      <c r="O34" s="136">
        <f t="shared" si="8"/>
        <v>0</v>
      </c>
      <c r="P34" s="136">
        <f t="shared" si="8"/>
        <v>0</v>
      </c>
      <c r="Q34" s="136">
        <f t="shared" si="8"/>
        <v>0</v>
      </c>
      <c r="R34" s="136">
        <f>SUM(F34:Q34)</f>
        <v>1153000</v>
      </c>
      <c r="S34" s="48"/>
      <c r="T34" s="48"/>
    </row>
    <row r="35" spans="5:20" s="4" customFormat="1" ht="20.100000000000001" customHeight="1">
      <c r="E35" s="137" t="s">
        <v>67</v>
      </c>
      <c r="F35" s="135"/>
      <c r="G35" s="135"/>
      <c r="H35" s="135"/>
      <c r="I35" s="139"/>
      <c r="J35" s="139">
        <v>1153000</v>
      </c>
      <c r="K35" s="139"/>
      <c r="L35" s="139"/>
      <c r="M35" s="139"/>
      <c r="N35" s="139"/>
      <c r="O35" s="139"/>
      <c r="P35" s="139"/>
      <c r="Q35" s="139"/>
      <c r="R35" s="136">
        <f>SUM(F35:Q35)</f>
        <v>1153000</v>
      </c>
      <c r="S35" s="48"/>
      <c r="T35" s="48"/>
    </row>
    <row r="36" spans="5:20" s="4" customFormat="1" ht="20.100000000000001" customHeight="1">
      <c r="E36" s="137" t="s">
        <v>68</v>
      </c>
      <c r="F36" s="139"/>
      <c r="G36" s="139"/>
      <c r="H36" s="139"/>
      <c r="I36" s="139"/>
      <c r="J36" s="139"/>
      <c r="K36" s="139"/>
      <c r="L36" s="139"/>
      <c r="M36" s="139"/>
      <c r="N36" s="139"/>
      <c r="O36" s="139"/>
      <c r="P36" s="139"/>
      <c r="Q36" s="139"/>
      <c r="R36" s="136"/>
      <c r="S36" s="48"/>
      <c r="T36" s="48"/>
    </row>
    <row r="37" spans="5:20" s="48" customFormat="1" ht="20.100000000000001" customHeight="1">
      <c r="E37" s="141"/>
      <c r="F37" s="139"/>
      <c r="G37" s="139"/>
      <c r="H37" s="139"/>
      <c r="I37" s="139"/>
      <c r="J37" s="139"/>
      <c r="K37" s="139"/>
      <c r="L37" s="139"/>
      <c r="M37" s="139"/>
      <c r="N37" s="139"/>
      <c r="O37" s="139"/>
      <c r="P37" s="139"/>
      <c r="Q37" s="139"/>
      <c r="R37" s="136"/>
    </row>
    <row r="38" spans="5:20" s="4" customFormat="1" ht="33" customHeight="1">
      <c r="E38" s="128" t="s">
        <v>102</v>
      </c>
      <c r="F38" s="142">
        <f t="shared" ref="F38:Q38" si="9">F39+F42</f>
        <v>0</v>
      </c>
      <c r="G38" s="142">
        <f t="shared" si="9"/>
        <v>2279678</v>
      </c>
      <c r="H38" s="142">
        <f t="shared" si="9"/>
        <v>2279678</v>
      </c>
      <c r="I38" s="142">
        <f t="shared" si="9"/>
        <v>2279678</v>
      </c>
      <c r="J38" s="142">
        <f t="shared" si="9"/>
        <v>2279678</v>
      </c>
      <c r="K38" s="142">
        <f t="shared" si="9"/>
        <v>2279678</v>
      </c>
      <c r="L38" s="142">
        <f t="shared" si="9"/>
        <v>2279678</v>
      </c>
      <c r="M38" s="142">
        <f t="shared" si="9"/>
        <v>2279678</v>
      </c>
      <c r="N38" s="142">
        <f t="shared" si="9"/>
        <v>2279678</v>
      </c>
      <c r="O38" s="142">
        <f t="shared" si="9"/>
        <v>2279678</v>
      </c>
      <c r="P38" s="142">
        <f t="shared" si="9"/>
        <v>2279678</v>
      </c>
      <c r="Q38" s="142">
        <f t="shared" si="9"/>
        <v>5279677</v>
      </c>
      <c r="R38" s="142">
        <f>SUM(F38:Q38)</f>
        <v>28076457</v>
      </c>
      <c r="S38" s="48"/>
      <c r="T38" s="48"/>
    </row>
    <row r="39" spans="5:20" s="4" customFormat="1" ht="21" customHeight="1">
      <c r="E39" s="137" t="s">
        <v>18</v>
      </c>
      <c r="F39" s="143">
        <f>+F40</f>
        <v>0</v>
      </c>
      <c r="G39" s="143">
        <f t="shared" ref="G39:R39" si="10">+G40</f>
        <v>2279678</v>
      </c>
      <c r="H39" s="143">
        <f t="shared" si="10"/>
        <v>2279678</v>
      </c>
      <c r="I39" s="143">
        <f t="shared" si="10"/>
        <v>2279678</v>
      </c>
      <c r="J39" s="143">
        <f t="shared" si="10"/>
        <v>2279678</v>
      </c>
      <c r="K39" s="143">
        <f t="shared" si="10"/>
        <v>2279678</v>
      </c>
      <c r="L39" s="143">
        <f t="shared" si="10"/>
        <v>2279678</v>
      </c>
      <c r="M39" s="143">
        <f t="shared" si="10"/>
        <v>2279678</v>
      </c>
      <c r="N39" s="143">
        <f t="shared" si="10"/>
        <v>2279678</v>
      </c>
      <c r="O39" s="143">
        <f t="shared" si="10"/>
        <v>2279678</v>
      </c>
      <c r="P39" s="143">
        <f t="shared" si="10"/>
        <v>2279678</v>
      </c>
      <c r="Q39" s="143">
        <f t="shared" si="10"/>
        <v>5279677</v>
      </c>
      <c r="R39" s="143">
        <f t="shared" si="10"/>
        <v>28076457</v>
      </c>
      <c r="S39" s="98"/>
      <c r="T39" s="98"/>
    </row>
    <row r="40" spans="5:20" s="4" customFormat="1" ht="20.100000000000001" customHeight="1">
      <c r="E40" s="137" t="s">
        <v>19</v>
      </c>
      <c r="F40" s="143">
        <v>0</v>
      </c>
      <c r="G40" s="143">
        <v>2279678</v>
      </c>
      <c r="H40" s="143">
        <v>2279678</v>
      </c>
      <c r="I40" s="143">
        <v>2279678</v>
      </c>
      <c r="J40" s="143">
        <v>2279678</v>
      </c>
      <c r="K40" s="143">
        <v>2279678</v>
      </c>
      <c r="L40" s="143">
        <v>2279678</v>
      </c>
      <c r="M40" s="143">
        <v>2279678</v>
      </c>
      <c r="N40" s="143">
        <v>2279678</v>
      </c>
      <c r="O40" s="143">
        <v>2279678</v>
      </c>
      <c r="P40" s="143">
        <v>2279678</v>
      </c>
      <c r="Q40" s="143">
        <f>3000000+2279677</f>
        <v>5279677</v>
      </c>
      <c r="R40" s="139">
        <f>SUM(F40:Q40)</f>
        <v>28076457</v>
      </c>
      <c r="S40" s="218">
        <v>28076457</v>
      </c>
      <c r="T40" s="221">
        <f>+S40-R40</f>
        <v>0</v>
      </c>
    </row>
    <row r="41" spans="5:20" s="48" customFormat="1" ht="15" customHeight="1">
      <c r="E41" s="137" t="s">
        <v>20</v>
      </c>
      <c r="F41" s="143"/>
      <c r="G41" s="143"/>
      <c r="H41" s="143"/>
      <c r="I41" s="143"/>
      <c r="J41" s="143"/>
      <c r="K41" s="143"/>
      <c r="L41" s="143"/>
      <c r="M41" s="143"/>
      <c r="N41" s="143"/>
      <c r="O41" s="143"/>
      <c r="P41" s="143"/>
      <c r="Q41" s="143"/>
      <c r="R41" s="144"/>
      <c r="S41" s="218">
        <v>3000000</v>
      </c>
      <c r="T41" s="222">
        <f>+R40-S41</f>
        <v>25076457</v>
      </c>
    </row>
    <row r="42" spans="5:20" s="48" customFormat="1" ht="15" customHeight="1">
      <c r="E42" s="137" t="s">
        <v>21</v>
      </c>
      <c r="F42" s="139">
        <f t="shared" ref="F42:Q42" si="11">F43+F44</f>
        <v>0</v>
      </c>
      <c r="G42" s="139">
        <f t="shared" si="11"/>
        <v>0</v>
      </c>
      <c r="H42" s="139">
        <f t="shared" si="11"/>
        <v>0</v>
      </c>
      <c r="I42" s="139">
        <f t="shared" si="11"/>
        <v>0</v>
      </c>
      <c r="J42" s="139">
        <f t="shared" si="11"/>
        <v>0</v>
      </c>
      <c r="K42" s="139">
        <f t="shared" si="11"/>
        <v>0</v>
      </c>
      <c r="L42" s="139">
        <f t="shared" si="11"/>
        <v>0</v>
      </c>
      <c r="M42" s="139">
        <f t="shared" si="11"/>
        <v>0</v>
      </c>
      <c r="N42" s="139">
        <f t="shared" si="11"/>
        <v>0</v>
      </c>
      <c r="O42" s="139">
        <f t="shared" si="11"/>
        <v>0</v>
      </c>
      <c r="P42" s="139">
        <f t="shared" si="11"/>
        <v>0</v>
      </c>
      <c r="Q42" s="139">
        <f t="shared" si="11"/>
        <v>0</v>
      </c>
      <c r="R42" s="136">
        <f>SUM(F42:Q42)</f>
        <v>0</v>
      </c>
      <c r="S42" s="218">
        <f>+S40-S41</f>
        <v>25076457</v>
      </c>
    </row>
    <row r="43" spans="5:20" s="48" customFormat="1" ht="20.100000000000001" customHeight="1">
      <c r="E43" s="137" t="s">
        <v>19</v>
      </c>
      <c r="F43" s="143"/>
      <c r="G43" s="143"/>
      <c r="H43" s="143"/>
      <c r="I43" s="143"/>
      <c r="J43" s="143"/>
      <c r="K43" s="143"/>
      <c r="L43" s="143"/>
      <c r="M43" s="143"/>
      <c r="N43" s="143"/>
      <c r="O43" s="143"/>
      <c r="P43" s="143"/>
      <c r="Q43" s="143"/>
      <c r="R43" s="144"/>
      <c r="S43" s="218">
        <f>+S42/11</f>
        <v>2279677.9090909092</v>
      </c>
      <c r="T43" s="48">
        <f>+S43/12</f>
        <v>189973.15909090909</v>
      </c>
    </row>
    <row r="44" spans="5:20" s="48" customFormat="1" ht="15" customHeight="1">
      <c r="E44" s="137" t="s">
        <v>22</v>
      </c>
      <c r="F44" s="143"/>
      <c r="G44" s="143"/>
      <c r="H44" s="143"/>
      <c r="I44" s="143"/>
      <c r="J44" s="143"/>
      <c r="K44" s="143"/>
      <c r="L44" s="143"/>
      <c r="M44" s="143"/>
      <c r="N44" s="143"/>
      <c r="O44" s="143"/>
      <c r="P44" s="143"/>
      <c r="Q44" s="143"/>
      <c r="R44" s="144"/>
    </row>
    <row r="45" spans="5:20" s="48" customFormat="1" ht="39" customHeight="1">
      <c r="E45" s="128" t="s">
        <v>96</v>
      </c>
      <c r="F45" s="142">
        <f t="shared" ref="F45:Q45" si="12">F46+F47</f>
        <v>0</v>
      </c>
      <c r="G45" s="142">
        <f t="shared" si="12"/>
        <v>0</v>
      </c>
      <c r="H45" s="142">
        <f t="shared" si="12"/>
        <v>0</v>
      </c>
      <c r="I45" s="142">
        <f t="shared" si="12"/>
        <v>0</v>
      </c>
      <c r="J45" s="142">
        <f t="shared" si="12"/>
        <v>0</v>
      </c>
      <c r="K45" s="142">
        <f t="shared" si="12"/>
        <v>0</v>
      </c>
      <c r="L45" s="142">
        <f t="shared" si="12"/>
        <v>0</v>
      </c>
      <c r="M45" s="142">
        <f t="shared" si="12"/>
        <v>0</v>
      </c>
      <c r="N45" s="142">
        <f t="shared" si="12"/>
        <v>0</v>
      </c>
      <c r="O45" s="142">
        <f t="shared" si="12"/>
        <v>0</v>
      </c>
      <c r="P45" s="142">
        <f t="shared" si="12"/>
        <v>0</v>
      </c>
      <c r="Q45" s="142">
        <f t="shared" si="12"/>
        <v>0</v>
      </c>
      <c r="R45" s="142">
        <f>SUM(F45:Q45)</f>
        <v>0</v>
      </c>
    </row>
    <row r="46" spans="5:20" s="4" customFormat="1" ht="18" customHeight="1">
      <c r="E46" s="137" t="s">
        <v>18</v>
      </c>
      <c r="F46" s="139"/>
      <c r="G46" s="139"/>
      <c r="H46" s="139"/>
      <c r="I46" s="139"/>
      <c r="J46" s="139"/>
      <c r="K46" s="139"/>
      <c r="L46" s="139"/>
      <c r="M46" s="139"/>
      <c r="N46" s="139"/>
      <c r="O46" s="139"/>
      <c r="P46" s="139"/>
      <c r="Q46" s="139"/>
      <c r="R46" s="136"/>
      <c r="S46" s="98"/>
      <c r="T46" s="98"/>
    </row>
    <row r="47" spans="5:20" s="4" customFormat="1" ht="20.100000000000001" customHeight="1">
      <c r="E47" s="137" t="s">
        <v>21</v>
      </c>
      <c r="F47" s="139"/>
      <c r="G47" s="139"/>
      <c r="H47" s="139"/>
      <c r="I47" s="139"/>
      <c r="J47" s="139"/>
      <c r="K47" s="139"/>
      <c r="L47" s="139"/>
      <c r="M47" s="139"/>
      <c r="N47" s="139"/>
      <c r="O47" s="139"/>
      <c r="P47" s="139"/>
      <c r="Q47" s="139"/>
      <c r="R47" s="136"/>
      <c r="S47" s="48"/>
      <c r="T47" s="48"/>
    </row>
    <row r="48" spans="5:20" s="4" customFormat="1" ht="20.100000000000001" customHeight="1">
      <c r="E48" s="128" t="s">
        <v>92</v>
      </c>
      <c r="F48" s="142">
        <f t="shared" ref="F48:Q48" si="13">+F49</f>
        <v>0</v>
      </c>
      <c r="G48" s="142">
        <f t="shared" si="13"/>
        <v>0</v>
      </c>
      <c r="H48" s="142">
        <f t="shared" si="13"/>
        <v>0</v>
      </c>
      <c r="I48" s="142">
        <f t="shared" si="13"/>
        <v>0</v>
      </c>
      <c r="J48" s="142">
        <f t="shared" si="13"/>
        <v>0</v>
      </c>
      <c r="K48" s="142">
        <f t="shared" si="13"/>
        <v>0</v>
      </c>
      <c r="L48" s="142">
        <f t="shared" si="13"/>
        <v>0</v>
      </c>
      <c r="M48" s="142">
        <f t="shared" si="13"/>
        <v>0</v>
      </c>
      <c r="N48" s="142">
        <f t="shared" si="13"/>
        <v>0</v>
      </c>
      <c r="O48" s="142">
        <f t="shared" si="13"/>
        <v>0</v>
      </c>
      <c r="P48" s="142">
        <f t="shared" si="13"/>
        <v>0</v>
      </c>
      <c r="Q48" s="142">
        <f t="shared" si="13"/>
        <v>0</v>
      </c>
      <c r="R48" s="142">
        <f>SUM(F48:Q48)</f>
        <v>0</v>
      </c>
      <c r="S48" s="48"/>
      <c r="T48" s="48"/>
    </row>
    <row r="49" spans="5:20" s="4" customFormat="1" ht="23.45" customHeight="1">
      <c r="E49" s="134" t="s">
        <v>93</v>
      </c>
      <c r="F49" s="136">
        <f t="shared" ref="F49:Q49" si="14">+F50+F51</f>
        <v>0</v>
      </c>
      <c r="G49" s="136">
        <f t="shared" si="14"/>
        <v>0</v>
      </c>
      <c r="H49" s="136">
        <f t="shared" si="14"/>
        <v>0</v>
      </c>
      <c r="I49" s="136">
        <f t="shared" si="14"/>
        <v>0</v>
      </c>
      <c r="J49" s="136">
        <f t="shared" si="14"/>
        <v>0</v>
      </c>
      <c r="K49" s="136">
        <f t="shared" si="14"/>
        <v>0</v>
      </c>
      <c r="L49" s="136">
        <f t="shared" si="14"/>
        <v>0</v>
      </c>
      <c r="M49" s="136">
        <f t="shared" si="14"/>
        <v>0</v>
      </c>
      <c r="N49" s="136">
        <f t="shared" si="14"/>
        <v>0</v>
      </c>
      <c r="O49" s="136">
        <f t="shared" si="14"/>
        <v>0</v>
      </c>
      <c r="P49" s="136">
        <f t="shared" si="14"/>
        <v>0</v>
      </c>
      <c r="Q49" s="136">
        <f t="shared" si="14"/>
        <v>0</v>
      </c>
      <c r="R49" s="136">
        <f>SUM(F49:Q49)</f>
        <v>0</v>
      </c>
      <c r="S49" s="48"/>
      <c r="T49" s="48"/>
    </row>
    <row r="50" spans="5:20" s="4"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98"/>
      <c r="T50" s="98"/>
    </row>
    <row r="51" spans="5:20" s="4"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48"/>
      <c r="T51" s="48"/>
    </row>
    <row r="52" spans="5:20" s="4" customFormat="1" ht="19.5" customHeight="1" thickBot="1">
      <c r="E52" s="223"/>
      <c r="F52" s="224"/>
      <c r="G52" s="224"/>
      <c r="H52" s="224"/>
      <c r="I52" s="224"/>
      <c r="J52" s="224"/>
      <c r="K52" s="224"/>
      <c r="L52" s="224"/>
      <c r="M52" s="224"/>
      <c r="N52" s="224"/>
      <c r="O52" s="224"/>
      <c r="P52" s="224"/>
      <c r="Q52" s="224"/>
      <c r="R52" s="224"/>
      <c r="S52" s="100"/>
      <c r="T52" s="48"/>
    </row>
    <row r="53" spans="5:20" s="227" customFormat="1" ht="20.100000000000001" customHeight="1" thickTop="1" thickBot="1">
      <c r="E53" s="223"/>
      <c r="F53" s="224"/>
      <c r="G53" s="224"/>
      <c r="H53" s="224"/>
      <c r="I53" s="224"/>
      <c r="J53" s="224"/>
      <c r="K53" s="224"/>
      <c r="L53" s="224"/>
      <c r="M53" s="224"/>
      <c r="N53" s="224"/>
      <c r="O53" s="224"/>
      <c r="P53" s="224"/>
      <c r="Q53" s="224"/>
      <c r="R53" s="224"/>
      <c r="S53" s="225"/>
      <c r="T53" s="226"/>
    </row>
    <row r="54" spans="5:20" s="227" customFormat="1" ht="15" thickTop="1">
      <c r="E54" s="1" t="s">
        <v>137</v>
      </c>
      <c r="F54" s="228"/>
      <c r="G54" s="228"/>
      <c r="H54" s="228"/>
      <c r="I54" s="228"/>
      <c r="J54" s="228"/>
      <c r="K54" s="228"/>
      <c r="L54" s="228"/>
      <c r="M54" s="228"/>
      <c r="N54" s="228"/>
      <c r="O54" s="228"/>
      <c r="P54" s="228"/>
      <c r="Q54" s="228"/>
      <c r="R54" s="228"/>
      <c r="S54" s="225"/>
      <c r="T54" s="226"/>
    </row>
    <row r="55" spans="5:20" s="227" customFormat="1" ht="14.25">
      <c r="E55" s="5" t="s">
        <v>138</v>
      </c>
      <c r="F55" s="228"/>
      <c r="G55" s="228"/>
      <c r="H55" s="228"/>
      <c r="I55" s="228"/>
      <c r="J55" s="228"/>
      <c r="K55" s="228"/>
      <c r="L55" s="228"/>
      <c r="M55" s="228"/>
      <c r="N55" s="228"/>
      <c r="O55" s="228"/>
      <c r="P55" s="228"/>
      <c r="Q55" s="228"/>
      <c r="R55" s="228"/>
    </row>
    <row r="56" spans="5:20" s="227" customFormat="1" ht="14.25">
      <c r="E56" s="5"/>
      <c r="F56" s="228"/>
      <c r="G56" s="228"/>
      <c r="H56" s="228"/>
      <c r="I56" s="228"/>
      <c r="J56" s="228"/>
      <c r="K56" s="228"/>
      <c r="L56" s="228"/>
      <c r="M56" s="228"/>
      <c r="N56" s="228"/>
      <c r="O56" s="228"/>
      <c r="P56" s="228"/>
      <c r="Q56" s="228"/>
      <c r="R56" s="228"/>
    </row>
    <row r="57" spans="5:20" s="227" customFormat="1" ht="92.25" customHeight="1" thickBot="1">
      <c r="E57" s="5"/>
      <c r="F57" s="228"/>
      <c r="G57" s="228"/>
      <c r="H57" s="228"/>
      <c r="I57" s="228"/>
      <c r="J57" s="228"/>
      <c r="K57" s="228"/>
      <c r="L57" s="228"/>
      <c r="M57" s="228"/>
      <c r="N57" s="228"/>
      <c r="O57" s="228"/>
      <c r="P57" s="228"/>
      <c r="Q57" s="228"/>
      <c r="R57" s="228"/>
    </row>
    <row r="58" spans="5:20" s="227" customFormat="1" ht="19.5" thickTop="1">
      <c r="E58" s="231" t="s">
        <v>139</v>
      </c>
      <c r="F58" s="230"/>
      <c r="G58" s="230"/>
      <c r="H58" s="230"/>
      <c r="I58" s="366" t="s">
        <v>139</v>
      </c>
      <c r="J58" s="366"/>
      <c r="K58" s="366"/>
      <c r="L58" s="366"/>
      <c r="M58" s="83"/>
      <c r="N58" s="83"/>
      <c r="O58" s="366" t="s">
        <v>139</v>
      </c>
      <c r="P58" s="366"/>
      <c r="Q58" s="366"/>
      <c r="R58" s="228"/>
      <c r="S58" s="232"/>
      <c r="T58" s="232"/>
    </row>
    <row r="59" spans="5:20" ht="19.5">
      <c r="E59" s="233" t="s">
        <v>117</v>
      </c>
      <c r="F59" s="234"/>
      <c r="G59" s="234"/>
      <c r="H59" s="234"/>
      <c r="I59" s="234" t="s">
        <v>140</v>
      </c>
      <c r="J59" s="234"/>
      <c r="K59" s="234"/>
      <c r="L59" s="234"/>
      <c r="M59" s="234"/>
      <c r="N59" s="234"/>
      <c r="O59" s="234" t="s">
        <v>141</v>
      </c>
      <c r="P59" s="234"/>
      <c r="Q59" s="234"/>
      <c r="R59" s="5"/>
      <c r="S59" s="235"/>
      <c r="T59" s="235"/>
    </row>
    <row r="60" spans="5:20" ht="19.5">
      <c r="E60" s="167" t="s">
        <v>114</v>
      </c>
      <c r="F60" s="234"/>
      <c r="G60" s="234"/>
      <c r="H60" s="234"/>
      <c r="I60" s="234" t="s">
        <v>142</v>
      </c>
      <c r="J60" s="234"/>
      <c r="K60" s="234"/>
      <c r="L60" s="234"/>
      <c r="M60" s="234"/>
      <c r="N60" s="234"/>
      <c r="O60" s="234" t="s">
        <v>143</v>
      </c>
      <c r="P60" s="234"/>
      <c r="Q60" s="234"/>
      <c r="R60" s="228"/>
      <c r="S60" s="235"/>
      <c r="T60" s="235"/>
    </row>
    <row r="61" spans="5:20" ht="19.5">
      <c r="E61" s="167" t="s">
        <v>144</v>
      </c>
      <c r="F61" s="234"/>
      <c r="G61" s="234"/>
      <c r="H61" s="234"/>
      <c r="I61" s="234" t="s">
        <v>145</v>
      </c>
      <c r="J61" s="234"/>
      <c r="K61" s="234"/>
      <c r="L61" s="234"/>
      <c r="M61" s="234"/>
      <c r="N61" s="234"/>
      <c r="O61" s="234" t="s">
        <v>146</v>
      </c>
      <c r="P61" s="234"/>
      <c r="Q61" s="234"/>
      <c r="R61" s="235"/>
    </row>
    <row r="62" spans="5:20">
      <c r="F62" s="235"/>
      <c r="G62" s="235"/>
      <c r="H62" s="235"/>
      <c r="I62" s="235"/>
      <c r="J62" s="235"/>
      <c r="K62" s="235"/>
      <c r="L62" s="235"/>
      <c r="M62" s="235"/>
      <c r="N62" s="235"/>
      <c r="O62" s="235"/>
      <c r="P62" s="235"/>
      <c r="Q62" s="235"/>
      <c r="R62" s="235"/>
    </row>
    <row r="63" spans="5:20">
      <c r="F63" s="235"/>
      <c r="G63" s="235"/>
      <c r="H63" s="235"/>
      <c r="I63" s="235"/>
      <c r="J63" s="235"/>
      <c r="K63" s="235"/>
      <c r="L63" s="235"/>
      <c r="M63" s="235"/>
      <c r="N63" s="235"/>
      <c r="O63" s="235"/>
      <c r="P63" s="235"/>
      <c r="Q63" s="235"/>
      <c r="R63" s="235"/>
    </row>
    <row r="64" spans="5:20">
      <c r="F64" s="235"/>
      <c r="G64" s="235"/>
      <c r="H64" s="235"/>
      <c r="I64" s="235"/>
      <c r="J64" s="235"/>
      <c r="K64" s="235"/>
      <c r="L64" s="235"/>
      <c r="M64" s="235"/>
      <c r="N64" s="235"/>
      <c r="O64" s="235"/>
      <c r="P64" s="235"/>
      <c r="Q64" s="235"/>
      <c r="R64" s="235"/>
    </row>
    <row r="65" spans="6:18">
      <c r="F65" s="235"/>
      <c r="G65" s="235"/>
      <c r="H65" s="235"/>
      <c r="I65" s="235"/>
      <c r="J65" s="235"/>
      <c r="K65" s="235"/>
      <c r="L65" s="235"/>
      <c r="M65" s="235"/>
      <c r="N65" s="235"/>
      <c r="O65" s="235"/>
      <c r="P65" s="235"/>
      <c r="Q65" s="235"/>
      <c r="R65" s="235"/>
    </row>
    <row r="66" spans="6:18">
      <c r="F66" s="235"/>
      <c r="G66" s="235"/>
      <c r="H66" s="235"/>
      <c r="I66" s="235"/>
      <c r="J66" s="235"/>
      <c r="K66" s="235"/>
      <c r="L66" s="235"/>
      <c r="M66" s="235"/>
      <c r="N66" s="235"/>
      <c r="O66" s="235"/>
      <c r="P66" s="235"/>
      <c r="Q66" s="235"/>
      <c r="R66" s="235"/>
    </row>
    <row r="67" spans="6:18">
      <c r="F67" s="235"/>
      <c r="G67" s="235"/>
      <c r="H67" s="235"/>
      <c r="I67" s="235"/>
      <c r="J67" s="235"/>
      <c r="K67" s="235"/>
      <c r="L67" s="235"/>
      <c r="M67" s="235"/>
      <c r="N67" s="235"/>
      <c r="O67" s="235"/>
      <c r="P67" s="235"/>
      <c r="Q67" s="235"/>
      <c r="R67" s="235"/>
    </row>
    <row r="68" spans="6:18">
      <c r="F68" s="235"/>
      <c r="G68" s="235"/>
      <c r="H68" s="235"/>
      <c r="I68" s="235"/>
      <c r="J68" s="235"/>
      <c r="K68" s="235"/>
      <c r="L68" s="235"/>
      <c r="M68" s="235"/>
      <c r="N68" s="235"/>
      <c r="O68" s="235"/>
      <c r="P68" s="235"/>
      <c r="Q68" s="235"/>
      <c r="R68" s="235"/>
    </row>
    <row r="69" spans="6:18">
      <c r="F69" s="235"/>
      <c r="G69" s="235"/>
      <c r="H69" s="235"/>
      <c r="I69" s="235"/>
      <c r="J69" s="235"/>
      <c r="K69" s="235"/>
      <c r="L69" s="235"/>
      <c r="M69" s="235"/>
      <c r="N69" s="235"/>
      <c r="O69" s="235"/>
      <c r="P69" s="235"/>
      <c r="Q69" s="235"/>
      <c r="R69" s="235"/>
    </row>
    <row r="70" spans="6:18">
      <c r="F70" s="235"/>
      <c r="G70" s="235"/>
      <c r="H70" s="235"/>
      <c r="I70" s="235"/>
      <c r="J70" s="235"/>
      <c r="K70" s="235"/>
      <c r="L70" s="235"/>
      <c r="M70" s="235"/>
      <c r="N70" s="235"/>
      <c r="O70" s="235"/>
      <c r="P70" s="235"/>
      <c r="Q70" s="235"/>
      <c r="R70" s="235"/>
    </row>
    <row r="71" spans="6:18">
      <c r="F71" s="235"/>
      <c r="G71" s="235"/>
      <c r="H71" s="235"/>
      <c r="I71" s="235"/>
      <c r="J71" s="235"/>
      <c r="K71" s="235"/>
      <c r="L71" s="235"/>
      <c r="M71" s="235"/>
      <c r="N71" s="235"/>
      <c r="O71" s="235"/>
      <c r="P71" s="235"/>
      <c r="Q71" s="235"/>
      <c r="R71" s="235"/>
    </row>
    <row r="72" spans="6:18">
      <c r="F72" s="235"/>
      <c r="G72" s="235"/>
      <c r="H72" s="235"/>
      <c r="I72" s="235"/>
      <c r="J72" s="235"/>
      <c r="K72" s="235"/>
      <c r="L72" s="235"/>
      <c r="M72" s="235"/>
      <c r="N72" s="235"/>
      <c r="O72" s="235"/>
      <c r="P72" s="235"/>
      <c r="Q72" s="235"/>
      <c r="R72" s="235"/>
    </row>
    <row r="73" spans="6:18">
      <c r="F73" s="235"/>
      <c r="G73" s="235"/>
      <c r="H73" s="235"/>
      <c r="I73" s="235"/>
      <c r="J73" s="235"/>
      <c r="K73" s="235"/>
      <c r="L73" s="235"/>
      <c r="M73" s="235"/>
      <c r="N73" s="235"/>
      <c r="O73" s="235"/>
      <c r="P73" s="235"/>
      <c r="Q73" s="235"/>
      <c r="R73" s="235"/>
    </row>
    <row r="74" spans="6:18">
      <c r="F74" s="235"/>
      <c r="G74" s="235"/>
      <c r="H74" s="235"/>
      <c r="I74" s="235"/>
      <c r="J74" s="235"/>
      <c r="K74" s="235"/>
      <c r="L74" s="235"/>
      <c r="M74" s="235"/>
      <c r="N74" s="235"/>
      <c r="O74" s="235"/>
      <c r="P74" s="235"/>
      <c r="Q74" s="235"/>
      <c r="R74" s="235"/>
    </row>
    <row r="75" spans="6:18">
      <c r="F75" s="235"/>
      <c r="G75" s="235"/>
      <c r="H75" s="235"/>
      <c r="I75" s="235"/>
      <c r="J75" s="235"/>
      <c r="K75" s="235"/>
      <c r="L75" s="235"/>
      <c r="M75" s="235"/>
      <c r="N75" s="235"/>
      <c r="O75" s="235"/>
      <c r="P75" s="235"/>
      <c r="Q75" s="235"/>
      <c r="R75" s="235"/>
    </row>
    <row r="76" spans="6:18">
      <c r="F76" s="235"/>
      <c r="G76" s="235"/>
      <c r="H76" s="235"/>
      <c r="I76" s="235"/>
      <c r="J76" s="235"/>
      <c r="K76" s="235"/>
      <c r="L76" s="235"/>
      <c r="M76" s="235"/>
      <c r="N76" s="235"/>
      <c r="O76" s="235"/>
      <c r="P76" s="235"/>
      <c r="Q76" s="235"/>
      <c r="R76" s="235"/>
    </row>
    <row r="77" spans="6:18">
      <c r="F77" s="235"/>
      <c r="G77" s="235"/>
      <c r="H77" s="235"/>
      <c r="I77" s="235"/>
      <c r="J77" s="235"/>
      <c r="K77" s="235"/>
      <c r="L77" s="235"/>
      <c r="M77" s="235"/>
      <c r="N77" s="235"/>
      <c r="O77" s="235"/>
      <c r="P77" s="235"/>
      <c r="Q77" s="235"/>
      <c r="R77" s="235"/>
    </row>
    <row r="78" spans="6:18">
      <c r="F78" s="235"/>
      <c r="G78" s="235"/>
      <c r="H78" s="235"/>
      <c r="I78" s="235"/>
      <c r="J78" s="235"/>
      <c r="K78" s="235"/>
      <c r="L78" s="235"/>
      <c r="M78" s="235"/>
      <c r="N78" s="235"/>
      <c r="O78" s="235"/>
      <c r="P78" s="235"/>
      <c r="Q78" s="235"/>
      <c r="R78" s="235"/>
    </row>
    <row r="79" spans="6:18">
      <c r="F79" s="235"/>
      <c r="G79" s="235"/>
      <c r="H79" s="235"/>
      <c r="I79" s="235"/>
      <c r="J79" s="235"/>
      <c r="K79" s="235"/>
      <c r="L79" s="235"/>
      <c r="M79" s="235"/>
      <c r="N79" s="235"/>
      <c r="O79" s="235"/>
      <c r="P79" s="235"/>
      <c r="Q79" s="235"/>
      <c r="R79" s="235"/>
    </row>
    <row r="80" spans="6:18">
      <c r="F80" s="235"/>
      <c r="G80" s="235"/>
      <c r="H80" s="235"/>
      <c r="I80" s="235"/>
      <c r="J80" s="235"/>
      <c r="K80" s="235"/>
      <c r="L80" s="235"/>
      <c r="M80" s="235"/>
      <c r="N80" s="235"/>
      <c r="O80" s="235"/>
      <c r="P80" s="235"/>
      <c r="Q80" s="235"/>
      <c r="R80" s="235"/>
    </row>
    <row r="81" spans="6:18">
      <c r="F81" s="235"/>
      <c r="G81" s="235"/>
      <c r="H81" s="235"/>
      <c r="I81" s="235"/>
      <c r="J81" s="235"/>
      <c r="K81" s="235"/>
      <c r="L81" s="235"/>
      <c r="M81" s="235"/>
      <c r="N81" s="235"/>
      <c r="O81" s="235"/>
      <c r="P81" s="235"/>
      <c r="Q81" s="235"/>
      <c r="R81" s="235"/>
    </row>
    <row r="82" spans="6:18">
      <c r="F82" s="235"/>
      <c r="G82" s="235"/>
      <c r="H82" s="235"/>
      <c r="I82" s="235"/>
      <c r="J82" s="235"/>
      <c r="K82" s="235"/>
      <c r="L82" s="235"/>
      <c r="M82" s="235"/>
      <c r="N82" s="235"/>
      <c r="O82" s="235"/>
      <c r="P82" s="235"/>
      <c r="Q82" s="235"/>
      <c r="R82" s="235"/>
    </row>
    <row r="83" spans="6:18">
      <c r="F83" s="235"/>
      <c r="G83" s="235"/>
      <c r="H83" s="235"/>
      <c r="I83" s="235"/>
      <c r="J83" s="235"/>
      <c r="K83" s="235"/>
      <c r="L83" s="235"/>
      <c r="M83" s="235"/>
      <c r="N83" s="235"/>
      <c r="O83" s="235"/>
      <c r="P83" s="235"/>
      <c r="Q83" s="235"/>
      <c r="R83" s="235"/>
    </row>
    <row r="84" spans="6:18">
      <c r="F84" s="235"/>
      <c r="G84" s="235"/>
      <c r="H84" s="235"/>
      <c r="I84" s="235"/>
      <c r="J84" s="235"/>
      <c r="K84" s="235"/>
      <c r="L84" s="235"/>
      <c r="M84" s="235"/>
      <c r="N84" s="235"/>
      <c r="O84" s="235"/>
      <c r="P84" s="235"/>
      <c r="Q84" s="235"/>
      <c r="R84" s="235"/>
    </row>
    <row r="85" spans="6:18">
      <c r="F85" s="235"/>
      <c r="G85" s="235"/>
      <c r="H85" s="235"/>
      <c r="I85" s="235"/>
      <c r="J85" s="235"/>
      <c r="K85" s="235"/>
      <c r="L85" s="235"/>
      <c r="M85" s="235"/>
      <c r="N85" s="235"/>
      <c r="O85" s="235"/>
      <c r="P85" s="235"/>
      <c r="Q85" s="235"/>
      <c r="R85" s="235"/>
    </row>
    <row r="86" spans="6:18">
      <c r="F86" s="235"/>
      <c r="G86" s="235"/>
      <c r="H86" s="235"/>
      <c r="I86" s="235"/>
      <c r="J86" s="235"/>
      <c r="K86" s="235"/>
      <c r="L86" s="235"/>
      <c r="M86" s="235"/>
      <c r="N86" s="235"/>
      <c r="O86" s="235"/>
      <c r="P86" s="235"/>
      <c r="Q86" s="235"/>
      <c r="R86" s="235"/>
    </row>
    <row r="87" spans="6:18">
      <c r="F87" s="235"/>
      <c r="G87" s="235"/>
      <c r="H87" s="235"/>
      <c r="I87" s="235"/>
      <c r="J87" s="235"/>
      <c r="K87" s="235"/>
      <c r="L87" s="235"/>
      <c r="M87" s="235"/>
      <c r="N87" s="235"/>
      <c r="O87" s="235"/>
      <c r="P87" s="235"/>
      <c r="Q87" s="235"/>
      <c r="R87" s="235"/>
    </row>
    <row r="88" spans="6:18">
      <c r="F88" s="235"/>
      <c r="G88" s="235"/>
      <c r="H88" s="235"/>
      <c r="I88" s="235"/>
      <c r="J88" s="235"/>
      <c r="K88" s="235"/>
      <c r="L88" s="235"/>
      <c r="M88" s="235"/>
      <c r="N88" s="235"/>
      <c r="O88" s="235"/>
      <c r="P88" s="235"/>
      <c r="Q88" s="235"/>
      <c r="R88" s="235"/>
    </row>
    <row r="89" spans="6:18">
      <c r="F89" s="235"/>
      <c r="G89" s="235"/>
      <c r="H89" s="235"/>
      <c r="I89" s="235"/>
      <c r="J89" s="235"/>
      <c r="K89" s="235"/>
      <c r="L89" s="235"/>
      <c r="M89" s="235"/>
      <c r="N89" s="235"/>
      <c r="O89" s="235"/>
      <c r="P89" s="235"/>
      <c r="Q89" s="235"/>
      <c r="R89" s="235"/>
    </row>
    <row r="90" spans="6:18">
      <c r="F90" s="235"/>
      <c r="G90" s="235"/>
      <c r="H90" s="235"/>
      <c r="I90" s="235"/>
      <c r="J90" s="235"/>
      <c r="K90" s="235"/>
      <c r="L90" s="235"/>
      <c r="M90" s="235"/>
      <c r="N90" s="235"/>
      <c r="O90" s="235"/>
      <c r="P90" s="235"/>
      <c r="Q90" s="235"/>
      <c r="R90" s="235"/>
    </row>
    <row r="91" spans="6:18">
      <c r="F91" s="235"/>
      <c r="G91" s="235"/>
      <c r="H91" s="235"/>
      <c r="I91" s="235"/>
      <c r="J91" s="235"/>
      <c r="K91" s="235"/>
      <c r="L91" s="235"/>
      <c r="M91" s="235"/>
      <c r="N91" s="235"/>
      <c r="O91" s="235"/>
      <c r="P91" s="235"/>
      <c r="Q91" s="235"/>
      <c r="R91" s="235"/>
    </row>
    <row r="92" spans="6:18">
      <c r="F92" s="235"/>
      <c r="G92" s="235"/>
      <c r="H92" s="235"/>
      <c r="I92" s="235"/>
      <c r="J92" s="235"/>
      <c r="K92" s="235"/>
      <c r="L92" s="235"/>
      <c r="M92" s="235"/>
      <c r="N92" s="235"/>
      <c r="O92" s="235"/>
      <c r="P92" s="235"/>
      <c r="Q92" s="235"/>
      <c r="R92" s="235"/>
    </row>
    <row r="93" spans="6:18">
      <c r="F93" s="235"/>
      <c r="G93" s="235"/>
      <c r="H93" s="235"/>
      <c r="I93" s="235"/>
      <c r="J93" s="235"/>
      <c r="K93" s="235"/>
      <c r="L93" s="235"/>
      <c r="M93" s="235"/>
      <c r="N93" s="235"/>
      <c r="O93" s="235"/>
      <c r="P93" s="235"/>
      <c r="Q93" s="235"/>
      <c r="R93" s="235"/>
    </row>
    <row r="94" spans="6:18">
      <c r="F94" s="235"/>
      <c r="G94" s="235"/>
      <c r="H94" s="235"/>
      <c r="I94" s="235"/>
      <c r="J94" s="235"/>
      <c r="K94" s="235"/>
      <c r="L94" s="235"/>
      <c r="M94" s="235"/>
      <c r="N94" s="235"/>
      <c r="O94" s="235"/>
      <c r="P94" s="235"/>
      <c r="Q94" s="235"/>
      <c r="R94" s="235"/>
    </row>
    <row r="95" spans="6:18">
      <c r="F95" s="235"/>
      <c r="G95" s="235"/>
      <c r="H95" s="235"/>
      <c r="I95" s="235"/>
      <c r="J95" s="235"/>
      <c r="K95" s="235"/>
      <c r="L95" s="235"/>
      <c r="M95" s="235"/>
      <c r="N95" s="235"/>
      <c r="O95" s="235"/>
      <c r="P95" s="235"/>
      <c r="Q95" s="235"/>
      <c r="R95" s="235"/>
    </row>
    <row r="96" spans="6:18">
      <c r="F96" s="235"/>
      <c r="G96" s="235"/>
      <c r="H96" s="235"/>
      <c r="I96" s="235"/>
      <c r="J96" s="235"/>
      <c r="K96" s="235"/>
      <c r="L96" s="235"/>
      <c r="M96" s="235"/>
      <c r="N96" s="235"/>
      <c r="O96" s="235"/>
      <c r="P96" s="235"/>
      <c r="Q96" s="235"/>
      <c r="R96" s="235"/>
    </row>
    <row r="97" spans="6:18">
      <c r="F97" s="235"/>
      <c r="G97" s="235"/>
      <c r="H97" s="235"/>
      <c r="I97" s="235"/>
      <c r="J97" s="235"/>
      <c r="K97" s="235"/>
      <c r="L97" s="235"/>
      <c r="M97" s="235"/>
      <c r="N97" s="235"/>
      <c r="O97" s="235"/>
      <c r="P97" s="235"/>
      <c r="Q97" s="235"/>
      <c r="R97" s="235"/>
    </row>
    <row r="98" spans="6:18">
      <c r="F98" s="235"/>
      <c r="G98" s="235"/>
      <c r="H98" s="235"/>
      <c r="I98" s="235"/>
      <c r="J98" s="235"/>
      <c r="K98" s="235"/>
      <c r="L98" s="235"/>
      <c r="M98" s="235"/>
      <c r="N98" s="235"/>
      <c r="O98" s="235"/>
      <c r="P98" s="235"/>
      <c r="Q98" s="235"/>
      <c r="R98" s="235"/>
    </row>
    <row r="99" spans="6:18">
      <c r="F99" s="235"/>
      <c r="G99" s="235"/>
      <c r="H99" s="235"/>
      <c r="I99" s="235"/>
      <c r="J99" s="235"/>
      <c r="K99" s="235"/>
      <c r="L99" s="235"/>
      <c r="M99" s="235"/>
      <c r="N99" s="235"/>
      <c r="O99" s="235"/>
      <c r="P99" s="235"/>
      <c r="Q99" s="235"/>
      <c r="R99" s="235"/>
    </row>
    <row r="100" spans="6:18">
      <c r="F100" s="235"/>
      <c r="G100" s="235"/>
      <c r="H100" s="235"/>
      <c r="I100" s="235"/>
      <c r="J100" s="235"/>
      <c r="K100" s="235"/>
      <c r="L100" s="235"/>
      <c r="M100" s="235"/>
      <c r="N100" s="235"/>
      <c r="O100" s="235"/>
      <c r="P100" s="235"/>
      <c r="Q100" s="235"/>
      <c r="R100" s="235"/>
    </row>
    <row r="101" spans="6:18">
      <c r="F101" s="235"/>
      <c r="G101" s="235"/>
      <c r="H101" s="235"/>
      <c r="I101" s="235"/>
      <c r="J101" s="235"/>
      <c r="K101" s="235"/>
      <c r="L101" s="235"/>
      <c r="M101" s="235"/>
      <c r="N101" s="235"/>
      <c r="O101" s="235"/>
      <c r="P101" s="235"/>
      <c r="Q101" s="235"/>
      <c r="R101" s="235"/>
    </row>
    <row r="102" spans="6:18">
      <c r="F102" s="235"/>
      <c r="G102" s="235"/>
      <c r="H102" s="235"/>
      <c r="I102" s="235"/>
      <c r="J102" s="235"/>
      <c r="K102" s="235"/>
      <c r="L102" s="235"/>
      <c r="M102" s="235"/>
      <c r="N102" s="235"/>
      <c r="O102" s="235"/>
      <c r="P102" s="235"/>
      <c r="Q102" s="235"/>
      <c r="R102" s="235"/>
    </row>
    <row r="103" spans="6:18">
      <c r="F103" s="235"/>
      <c r="G103" s="235"/>
      <c r="H103" s="235"/>
      <c r="I103" s="235"/>
      <c r="J103" s="235"/>
      <c r="K103" s="235"/>
      <c r="L103" s="235"/>
      <c r="M103" s="235"/>
      <c r="N103" s="235"/>
      <c r="O103" s="235"/>
      <c r="P103" s="235"/>
      <c r="Q103" s="235"/>
      <c r="R103" s="235"/>
    </row>
    <row r="104" spans="6:18">
      <c r="F104" s="235"/>
      <c r="G104" s="235"/>
      <c r="H104" s="235"/>
      <c r="I104" s="235"/>
      <c r="J104" s="235"/>
      <c r="K104" s="235"/>
      <c r="L104" s="235"/>
      <c r="M104" s="235"/>
      <c r="N104" s="235"/>
      <c r="O104" s="235"/>
      <c r="P104" s="235"/>
      <c r="Q104" s="235"/>
      <c r="R104" s="235"/>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4"/>
  <sheetViews>
    <sheetView showGridLines="0" view="pageBreakPreview" topLeftCell="F5" zoomScale="70" zoomScaleSheetLayoutView="70" workbookViewId="0">
      <selection activeCell="S34" sqref="S34"/>
    </sheetView>
  </sheetViews>
  <sheetFormatPr baseColWidth="10" defaultRowHeight="12.75"/>
  <cols>
    <col min="1" max="4" width="3" style="122" customWidth="1"/>
    <col min="5" max="5" width="45.42578125" style="122" customWidth="1"/>
    <col min="6" max="6" width="17.7109375" style="122" bestFit="1" customWidth="1"/>
    <col min="7" max="7" width="16.5703125" style="122" customWidth="1"/>
    <col min="8" max="8" width="16.42578125" style="122" bestFit="1" customWidth="1"/>
    <col min="9" max="9" width="16.85546875" style="122" customWidth="1"/>
    <col min="10" max="10" width="17.42578125" style="122" customWidth="1"/>
    <col min="11" max="11" width="17.140625" style="122" customWidth="1"/>
    <col min="12" max="12" width="16.85546875" style="122" customWidth="1"/>
    <col min="13" max="13" width="17.85546875" style="122" customWidth="1"/>
    <col min="14" max="14" width="19.85546875" style="122" customWidth="1"/>
    <col min="15" max="15" width="17.85546875" style="122" customWidth="1"/>
    <col min="16" max="16" width="17.5703125" style="122" customWidth="1"/>
    <col min="17" max="17" width="17.42578125" style="122" customWidth="1"/>
    <col min="18" max="18" width="19.28515625" style="122" customWidth="1"/>
    <col min="19" max="19" width="17.140625" style="122" customWidth="1"/>
    <col min="20" max="16384" width="11.42578125" style="122"/>
  </cols>
  <sheetData>
    <row r="3" spans="5:20" s="119" customFormat="1" ht="36" customHeight="1">
      <c r="E3" s="117"/>
      <c r="F3" s="118"/>
      <c r="G3" s="118"/>
      <c r="H3" s="118"/>
      <c r="I3" s="118"/>
      <c r="J3" s="118"/>
      <c r="K3" s="118"/>
      <c r="L3" s="118"/>
      <c r="M3" s="118"/>
      <c r="N3" s="118"/>
      <c r="O3" s="118"/>
    </row>
    <row r="4" spans="5:20" s="119" customFormat="1" ht="41.25" customHeight="1">
      <c r="E4" s="167" t="s">
        <v>149</v>
      </c>
      <c r="F4" s="118"/>
      <c r="G4" s="120"/>
      <c r="H4" s="118"/>
      <c r="I4" s="118"/>
      <c r="J4" s="118"/>
      <c r="K4" s="118"/>
      <c r="L4" s="118"/>
      <c r="M4" s="118"/>
      <c r="N4" s="118"/>
      <c r="O4" s="118"/>
    </row>
    <row r="5" spans="5:20" s="119" customFormat="1" ht="19.5">
      <c r="E5" s="166" t="s">
        <v>112</v>
      </c>
      <c r="F5" s="118"/>
      <c r="G5" s="118"/>
      <c r="H5" s="118"/>
      <c r="I5" s="118"/>
      <c r="J5" s="118"/>
      <c r="K5" s="118"/>
      <c r="L5" s="118"/>
      <c r="M5" s="118"/>
      <c r="N5" s="118"/>
      <c r="O5" s="118"/>
      <c r="P5" s="367" t="s">
        <v>65</v>
      </c>
      <c r="Q5" s="367"/>
      <c r="R5" s="367"/>
    </row>
    <row r="6" spans="5:20" s="119" customFormat="1" ht="19.5">
      <c r="E6" s="166" t="s">
        <v>75</v>
      </c>
      <c r="F6" s="118"/>
      <c r="G6" s="118"/>
      <c r="H6" s="118"/>
      <c r="I6" s="118"/>
      <c r="J6" s="118"/>
      <c r="K6" s="118"/>
      <c r="L6" s="118"/>
      <c r="M6" s="118"/>
      <c r="N6" s="118"/>
      <c r="O6" s="118"/>
      <c r="P6" s="367"/>
      <c r="Q6" s="367"/>
      <c r="R6" s="367"/>
    </row>
    <row r="7" spans="5:20" ht="15.75" customHeight="1">
      <c r="E7" s="166" t="s">
        <v>76</v>
      </c>
      <c r="F7" s="121"/>
      <c r="G7" s="121"/>
      <c r="H7" s="121"/>
      <c r="I7" s="121"/>
      <c r="J7" s="121"/>
      <c r="K7" s="121"/>
      <c r="L7" s="121"/>
      <c r="M7" s="121"/>
      <c r="N7" s="121"/>
      <c r="O7" s="121"/>
      <c r="P7" s="121"/>
      <c r="Q7" s="121"/>
      <c r="R7" s="121"/>
    </row>
    <row r="8" spans="5:20" ht="15.75" customHeight="1">
      <c r="E8" s="166" t="s">
        <v>77</v>
      </c>
      <c r="F8" s="121"/>
      <c r="G8" s="121"/>
      <c r="H8" s="121"/>
      <c r="I8" s="121"/>
      <c r="J8" s="121"/>
      <c r="K8" s="121"/>
      <c r="L8" s="121"/>
      <c r="M8" s="121"/>
      <c r="N8" s="121"/>
      <c r="O8" s="121"/>
      <c r="P8" s="121"/>
      <c r="Q8" s="121"/>
      <c r="R8" s="121"/>
    </row>
    <row r="9" spans="5:20" ht="6" customHeight="1" thickBot="1">
      <c r="E9" s="123"/>
      <c r="F9" s="121"/>
      <c r="G9" s="121"/>
      <c r="H9" s="121"/>
      <c r="I9" s="121"/>
      <c r="J9" s="121"/>
      <c r="K9" s="121"/>
      <c r="L9" s="121"/>
      <c r="M9" s="121"/>
      <c r="N9" s="121"/>
      <c r="O9" s="121"/>
      <c r="P9" s="121"/>
      <c r="Q9" s="121"/>
      <c r="R9" s="121"/>
    </row>
    <row r="10" spans="5:20" s="124" customFormat="1" ht="29.25" customHeight="1" thickTop="1" thickBot="1">
      <c r="E10" s="214" t="s">
        <v>59</v>
      </c>
      <c r="F10" s="214" t="s">
        <v>0</v>
      </c>
      <c r="G10" s="214" t="s">
        <v>1</v>
      </c>
      <c r="H10" s="214" t="s">
        <v>2</v>
      </c>
      <c r="I10" s="214" t="s">
        <v>3</v>
      </c>
      <c r="J10" s="214" t="s">
        <v>4</v>
      </c>
      <c r="K10" s="214" t="s">
        <v>5</v>
      </c>
      <c r="L10" s="214" t="s">
        <v>6</v>
      </c>
      <c r="M10" s="214" t="s">
        <v>7</v>
      </c>
      <c r="N10" s="214" t="s">
        <v>8</v>
      </c>
      <c r="O10" s="214" t="s">
        <v>9</v>
      </c>
      <c r="P10" s="214" t="s">
        <v>10</v>
      </c>
      <c r="Q10" s="214" t="s">
        <v>11</v>
      </c>
      <c r="R10" s="214" t="s">
        <v>12</v>
      </c>
    </row>
    <row r="11" spans="5:20" s="124" customFormat="1" ht="29.25" customHeight="1" thickTop="1">
      <c r="E11" s="125" t="s">
        <v>97</v>
      </c>
      <c r="F11" s="126">
        <f t="shared" ref="F11:Q11" si="0">+F12+F48</f>
        <v>5000201.169999999</v>
      </c>
      <c r="G11" s="126">
        <f t="shared" si="0"/>
        <v>6621340.3100000005</v>
      </c>
      <c r="H11" s="126">
        <f t="shared" si="0"/>
        <v>6990222.8500000006</v>
      </c>
      <c r="I11" s="126">
        <f t="shared" si="0"/>
        <v>6800446.6100000003</v>
      </c>
      <c r="J11" s="126">
        <f t="shared" si="0"/>
        <v>7406074.6000000006</v>
      </c>
      <c r="K11" s="126">
        <f t="shared" si="0"/>
        <v>6926006.96</v>
      </c>
      <c r="L11" s="126">
        <f t="shared" si="0"/>
        <v>0</v>
      </c>
      <c r="M11" s="126">
        <f t="shared" si="0"/>
        <v>0</v>
      </c>
      <c r="N11" s="126">
        <f t="shared" si="0"/>
        <v>0</v>
      </c>
      <c r="O11" s="126">
        <f t="shared" si="0"/>
        <v>0</v>
      </c>
      <c r="P11" s="126">
        <f t="shared" si="0"/>
        <v>0</v>
      </c>
      <c r="Q11" s="126">
        <f t="shared" si="0"/>
        <v>0</v>
      </c>
      <c r="R11" s="126">
        <f>SUM(F11:Q11)</f>
        <v>39744292.5</v>
      </c>
      <c r="S11" s="127">
        <f>+R11-'SPF-A01'!V15</f>
        <v>0</v>
      </c>
    </row>
    <row r="12" spans="5:20" s="124" customFormat="1" ht="29.25" customHeight="1">
      <c r="E12" s="128" t="s">
        <v>89</v>
      </c>
      <c r="F12" s="129">
        <f t="shared" ref="F12:Q12" si="1">+F13+F38+F45</f>
        <v>5000201.169999999</v>
      </c>
      <c r="G12" s="129">
        <f t="shared" si="1"/>
        <v>6621340.3100000005</v>
      </c>
      <c r="H12" s="129">
        <f t="shared" si="1"/>
        <v>6990222.8500000006</v>
      </c>
      <c r="I12" s="129">
        <f t="shared" si="1"/>
        <v>6800446.6100000003</v>
      </c>
      <c r="J12" s="129">
        <f t="shared" si="1"/>
        <v>7406074.6000000006</v>
      </c>
      <c r="K12" s="129">
        <f t="shared" si="1"/>
        <v>6926006.96</v>
      </c>
      <c r="L12" s="129">
        <f t="shared" si="1"/>
        <v>0</v>
      </c>
      <c r="M12" s="129">
        <f t="shared" si="1"/>
        <v>0</v>
      </c>
      <c r="N12" s="129">
        <f t="shared" si="1"/>
        <v>0</v>
      </c>
      <c r="O12" s="129">
        <f t="shared" si="1"/>
        <v>0</v>
      </c>
      <c r="P12" s="129">
        <f t="shared" si="1"/>
        <v>0</v>
      </c>
      <c r="Q12" s="129">
        <f t="shared" si="1"/>
        <v>0</v>
      </c>
      <c r="R12" s="129">
        <f>SUM(F12:Q12)</f>
        <v>39744292.5</v>
      </c>
    </row>
    <row r="13" spans="5:20" s="133" customFormat="1" ht="25.5" customHeight="1">
      <c r="E13" s="130" t="s">
        <v>90</v>
      </c>
      <c r="F13" s="131">
        <f t="shared" ref="F13:Q13" si="2">F15+F17+F23+F26+F30</f>
        <v>5000201.169999999</v>
      </c>
      <c r="G13" s="131">
        <f t="shared" si="2"/>
        <v>4341662.3100000005</v>
      </c>
      <c r="H13" s="131">
        <f t="shared" si="2"/>
        <v>4710544.8500000006</v>
      </c>
      <c r="I13" s="131">
        <f t="shared" si="2"/>
        <v>4520768.6100000003</v>
      </c>
      <c r="J13" s="131">
        <f t="shared" si="2"/>
        <v>5126396.6000000006</v>
      </c>
      <c r="K13" s="131">
        <f t="shared" si="2"/>
        <v>4646328.96</v>
      </c>
      <c r="L13" s="131">
        <f t="shared" si="2"/>
        <v>0</v>
      </c>
      <c r="M13" s="131">
        <f t="shared" si="2"/>
        <v>0</v>
      </c>
      <c r="N13" s="131">
        <f t="shared" si="2"/>
        <v>0</v>
      </c>
      <c r="O13" s="131">
        <f t="shared" si="2"/>
        <v>0</v>
      </c>
      <c r="P13" s="131">
        <f t="shared" si="2"/>
        <v>0</v>
      </c>
      <c r="Q13" s="131">
        <f t="shared" si="2"/>
        <v>0</v>
      </c>
      <c r="R13" s="131">
        <f>SUM(F13:Q13)</f>
        <v>28345902.500000004</v>
      </c>
      <c r="S13" s="132"/>
      <c r="T13" s="132"/>
    </row>
    <row r="14" spans="5:20" s="133" customFormat="1" ht="25.5" customHeight="1">
      <c r="E14" s="134"/>
      <c r="F14" s="131"/>
      <c r="G14" s="131"/>
      <c r="H14" s="131"/>
      <c r="I14" s="131"/>
      <c r="J14" s="131"/>
      <c r="K14" s="131"/>
      <c r="L14" s="131"/>
      <c r="M14" s="131"/>
      <c r="N14" s="131"/>
      <c r="O14" s="131"/>
      <c r="P14" s="131"/>
      <c r="Q14" s="131"/>
      <c r="R14" s="131"/>
      <c r="S14" s="132"/>
      <c r="T14" s="132"/>
    </row>
    <row r="15" spans="5:20" s="133" customFormat="1" ht="20.100000000000001" customHeight="1">
      <c r="E15" s="134" t="s">
        <v>14</v>
      </c>
      <c r="F15" s="135"/>
      <c r="G15" s="135"/>
      <c r="H15" s="135"/>
      <c r="I15" s="135"/>
      <c r="J15" s="135"/>
      <c r="K15" s="135"/>
      <c r="L15" s="135"/>
      <c r="M15" s="135"/>
      <c r="N15" s="135"/>
      <c r="O15" s="135"/>
      <c r="P15" s="135"/>
      <c r="Q15" s="135"/>
      <c r="R15" s="131"/>
      <c r="S15" s="124"/>
      <c r="T15" s="124"/>
    </row>
    <row r="16" spans="5:20" s="133" customFormat="1" ht="20.100000000000001" customHeight="1">
      <c r="E16" s="134"/>
      <c r="F16" s="135"/>
      <c r="G16" s="135"/>
      <c r="H16" s="135"/>
      <c r="I16" s="135"/>
      <c r="J16" s="135"/>
      <c r="K16" s="135"/>
      <c r="L16" s="135"/>
      <c r="M16" s="135"/>
      <c r="N16" s="135"/>
      <c r="O16" s="135"/>
      <c r="P16" s="135"/>
      <c r="Q16" s="135"/>
      <c r="R16" s="131"/>
      <c r="S16" s="124"/>
      <c r="T16" s="124"/>
    </row>
    <row r="17" spans="5:20" s="133" customFormat="1" ht="20.100000000000001" customHeight="1">
      <c r="E17" s="134" t="s">
        <v>15</v>
      </c>
      <c r="F17" s="131">
        <f>SUM(F18:F21)</f>
        <v>4788915.2699999996</v>
      </c>
      <c r="G17" s="131">
        <f t="shared" ref="G17:Q17" si="3">SUM(G18:G21)</f>
        <v>4190886.8400000003</v>
      </c>
      <c r="H17" s="131">
        <f t="shared" si="3"/>
        <v>4517400.4300000006</v>
      </c>
      <c r="I17" s="131">
        <f t="shared" si="3"/>
        <v>4329792.66</v>
      </c>
      <c r="J17" s="131">
        <f t="shared" si="3"/>
        <v>3785189.1200000006</v>
      </c>
      <c r="K17" s="131">
        <f t="shared" si="3"/>
        <v>4430124.74</v>
      </c>
      <c r="L17" s="131">
        <f t="shared" si="3"/>
        <v>0</v>
      </c>
      <c r="M17" s="131">
        <f t="shared" si="3"/>
        <v>0</v>
      </c>
      <c r="N17" s="131">
        <f t="shared" si="3"/>
        <v>0</v>
      </c>
      <c r="O17" s="131">
        <f t="shared" si="3"/>
        <v>0</v>
      </c>
      <c r="P17" s="131">
        <f t="shared" si="3"/>
        <v>0</v>
      </c>
      <c r="Q17" s="131">
        <f t="shared" si="3"/>
        <v>0</v>
      </c>
      <c r="R17" s="131">
        <f>SUM(R18:R21)</f>
        <v>26042309.059999999</v>
      </c>
      <c r="S17" s="124"/>
      <c r="T17" s="124"/>
    </row>
    <row r="18" spans="5:20" s="133" customFormat="1" ht="20.100000000000001" customHeight="1">
      <c r="E18" s="137" t="s">
        <v>106</v>
      </c>
      <c r="F18" s="135">
        <v>3979456.03</v>
      </c>
      <c r="G18" s="135">
        <v>3538285.21</v>
      </c>
      <c r="H18" s="135">
        <v>3600840.91</v>
      </c>
      <c r="I18" s="135">
        <v>3541791</v>
      </c>
      <c r="J18" s="135">
        <v>3245630.9200000004</v>
      </c>
      <c r="K18" s="135">
        <v>3707789.98</v>
      </c>
      <c r="L18" s="135"/>
      <c r="M18" s="135"/>
      <c r="N18" s="135"/>
      <c r="O18" s="135"/>
      <c r="P18" s="135"/>
      <c r="Q18" s="135"/>
      <c r="R18" s="136">
        <f>SUM(F18:Q18)</f>
        <v>21613794.050000001</v>
      </c>
      <c r="S18" s="124"/>
      <c r="T18" s="124"/>
    </row>
    <row r="19" spans="5:20" s="133" customFormat="1" ht="20.100000000000001" customHeight="1">
      <c r="E19" s="137" t="s">
        <v>107</v>
      </c>
      <c r="F19" s="135">
        <v>290122.73</v>
      </c>
      <c r="G19" s="135">
        <v>172758.95</v>
      </c>
      <c r="H19" s="135">
        <v>429322.12</v>
      </c>
      <c r="I19" s="135">
        <v>305411.67</v>
      </c>
      <c r="J19" s="135">
        <v>59686.100000000006</v>
      </c>
      <c r="K19" s="135">
        <v>239842.63</v>
      </c>
      <c r="L19" s="135"/>
      <c r="M19" s="135"/>
      <c r="N19" s="135"/>
      <c r="O19" s="135"/>
      <c r="P19" s="135"/>
      <c r="Q19" s="135"/>
      <c r="R19" s="136">
        <f>SUM(F19:Q19)</f>
        <v>1497144.2000000002</v>
      </c>
      <c r="S19" s="124"/>
      <c r="T19" s="124"/>
    </row>
    <row r="20" spans="5:20" s="133" customFormat="1" ht="20.100000000000001" customHeight="1">
      <c r="E20" s="137" t="s">
        <v>110</v>
      </c>
      <c r="F20" s="135">
        <v>519336.51</v>
      </c>
      <c r="G20" s="135">
        <v>479842.68</v>
      </c>
      <c r="H20" s="135">
        <v>487237.4</v>
      </c>
      <c r="I20" s="135">
        <v>482589.99</v>
      </c>
      <c r="J20" s="135">
        <v>479872.1</v>
      </c>
      <c r="K20" s="135">
        <v>482492.13</v>
      </c>
      <c r="L20" s="135"/>
      <c r="M20" s="135"/>
      <c r="N20" s="135"/>
      <c r="O20" s="135"/>
      <c r="P20" s="135"/>
      <c r="Q20" s="135"/>
      <c r="R20" s="136">
        <f>SUM(F20:Q20)</f>
        <v>2931370.8099999996</v>
      </c>
      <c r="S20" s="124"/>
      <c r="T20" s="124"/>
    </row>
    <row r="21" spans="5:20" s="133" customFormat="1" ht="20.100000000000001" customHeight="1">
      <c r="E21" s="134" t="s">
        <v>147</v>
      </c>
      <c r="F21" s="135">
        <v>0</v>
      </c>
      <c r="G21" s="135">
        <v>0</v>
      </c>
      <c r="H21" s="135">
        <v>0</v>
      </c>
      <c r="I21" s="135">
        <v>0</v>
      </c>
      <c r="J21" s="135">
        <v>0</v>
      </c>
      <c r="K21" s="135">
        <v>0</v>
      </c>
      <c r="L21" s="135"/>
      <c r="M21" s="135"/>
      <c r="N21" s="135"/>
      <c r="O21" s="135"/>
      <c r="P21" s="135"/>
      <c r="Q21" s="135"/>
      <c r="R21" s="136"/>
      <c r="S21" s="124"/>
      <c r="T21" s="124"/>
    </row>
    <row r="22" spans="5:20" s="133" customFormat="1" ht="20.100000000000001" customHeight="1">
      <c r="E22" s="134"/>
      <c r="F22" s="135"/>
      <c r="G22" s="135"/>
      <c r="H22" s="135"/>
      <c r="I22" s="135"/>
      <c r="J22" s="135"/>
      <c r="K22" s="135"/>
      <c r="L22" s="135"/>
      <c r="M22" s="135"/>
      <c r="N22" s="135"/>
      <c r="O22" s="135"/>
      <c r="P22" s="135"/>
      <c r="Q22" s="135"/>
      <c r="R22" s="136"/>
      <c r="S22" s="124"/>
      <c r="T22" s="124"/>
    </row>
    <row r="23" spans="5:20" s="133" customFormat="1" ht="20.100000000000001" customHeight="1">
      <c r="E23" s="101" t="s">
        <v>16</v>
      </c>
      <c r="F23" s="97">
        <f>+F24</f>
        <v>155216.84999999998</v>
      </c>
      <c r="G23" s="97">
        <f t="shared" ref="G23:Q23" si="4">+G24</f>
        <v>138086.82</v>
      </c>
      <c r="H23" s="97">
        <f t="shared" si="4"/>
        <v>179218.82</v>
      </c>
      <c r="I23" s="97">
        <f t="shared" si="4"/>
        <v>167444.88</v>
      </c>
      <c r="J23" s="97">
        <f t="shared" si="4"/>
        <v>172504.51</v>
      </c>
      <c r="K23" s="97">
        <f t="shared" si="4"/>
        <v>200251.37</v>
      </c>
      <c r="L23" s="97">
        <f t="shared" si="4"/>
        <v>0</v>
      </c>
      <c r="M23" s="97">
        <f t="shared" si="4"/>
        <v>0</v>
      </c>
      <c r="N23" s="97">
        <f t="shared" si="4"/>
        <v>0</v>
      </c>
      <c r="O23" s="97">
        <f t="shared" si="4"/>
        <v>0</v>
      </c>
      <c r="P23" s="97">
        <f t="shared" si="4"/>
        <v>0</v>
      </c>
      <c r="Q23" s="97">
        <f t="shared" si="4"/>
        <v>0</v>
      </c>
      <c r="R23" s="97">
        <f>SUM(F23:Q23)</f>
        <v>1012723.25</v>
      </c>
      <c r="S23" s="124"/>
      <c r="T23" s="124"/>
    </row>
    <row r="24" spans="5:20" s="133" customFormat="1" ht="20.100000000000001" customHeight="1">
      <c r="E24" s="102" t="s">
        <v>105</v>
      </c>
      <c r="F24" s="100">
        <v>155216.84999999998</v>
      </c>
      <c r="G24" s="100">
        <v>138086.82</v>
      </c>
      <c r="H24" s="100">
        <v>179218.82</v>
      </c>
      <c r="I24" s="100">
        <v>167444.88</v>
      </c>
      <c r="J24" s="100">
        <v>172504.51</v>
      </c>
      <c r="K24" s="100">
        <v>200251.37</v>
      </c>
      <c r="L24" s="100"/>
      <c r="M24" s="100"/>
      <c r="N24" s="100"/>
      <c r="O24" s="100"/>
      <c r="P24" s="100"/>
      <c r="Q24" s="100"/>
      <c r="R24" s="99">
        <f>SUM(F24:Q24)</f>
        <v>1012723.25</v>
      </c>
      <c r="S24" s="124"/>
      <c r="T24" s="124"/>
    </row>
    <row r="25" spans="5:20" s="133" customFormat="1" ht="20.100000000000001" customHeight="1">
      <c r="E25" s="138"/>
      <c r="F25" s="135"/>
      <c r="G25" s="135"/>
      <c r="H25" s="135"/>
      <c r="I25" s="135"/>
      <c r="J25" s="135"/>
      <c r="K25" s="135"/>
      <c r="L25" s="135"/>
      <c r="M25" s="135"/>
      <c r="N25" s="135"/>
      <c r="O25" s="135"/>
      <c r="P25" s="135"/>
      <c r="Q25" s="135"/>
      <c r="R25" s="136"/>
      <c r="S25" s="124"/>
      <c r="T25" s="124"/>
    </row>
    <row r="26" spans="5:20" s="133" customFormat="1" ht="20.100000000000001" customHeight="1">
      <c r="E26" s="134" t="s">
        <v>17</v>
      </c>
      <c r="F26" s="131">
        <f t="shared" ref="F26:Q26" si="5">SUM(F27:F28)+F34</f>
        <v>56069.05</v>
      </c>
      <c r="G26" s="131">
        <f t="shared" si="5"/>
        <v>12688.65</v>
      </c>
      <c r="H26" s="131">
        <f t="shared" si="5"/>
        <v>13925.6</v>
      </c>
      <c r="I26" s="131">
        <f t="shared" si="5"/>
        <v>23531.07</v>
      </c>
      <c r="J26" s="131">
        <f t="shared" si="5"/>
        <v>1168702.97</v>
      </c>
      <c r="K26" s="131">
        <f t="shared" si="5"/>
        <v>15952.85</v>
      </c>
      <c r="L26" s="131">
        <f t="shared" si="5"/>
        <v>0</v>
      </c>
      <c r="M26" s="131">
        <f t="shared" si="5"/>
        <v>0</v>
      </c>
      <c r="N26" s="131">
        <f t="shared" si="5"/>
        <v>0</v>
      </c>
      <c r="O26" s="131">
        <f t="shared" si="5"/>
        <v>0</v>
      </c>
      <c r="P26" s="131">
        <f t="shared" si="5"/>
        <v>0</v>
      </c>
      <c r="Q26" s="131">
        <f t="shared" si="5"/>
        <v>0</v>
      </c>
      <c r="R26" s="136">
        <f>SUM(F26:Q26)</f>
        <v>1290870.19</v>
      </c>
      <c r="S26" s="124"/>
      <c r="T26" s="124"/>
    </row>
    <row r="27" spans="5:20" s="133" customFormat="1" ht="20.100000000000001" customHeight="1">
      <c r="E27" s="137" t="s">
        <v>109</v>
      </c>
      <c r="F27" s="100">
        <v>56069.05</v>
      </c>
      <c r="G27" s="135">
        <v>12688.65</v>
      </c>
      <c r="H27" s="135">
        <v>13925.6</v>
      </c>
      <c r="I27" s="135">
        <v>23531.07</v>
      </c>
      <c r="J27" s="135">
        <v>15702.97</v>
      </c>
      <c r="K27" s="135">
        <v>15952.85</v>
      </c>
      <c r="L27" s="135"/>
      <c r="M27" s="135"/>
      <c r="N27" s="135"/>
      <c r="O27" s="135"/>
      <c r="P27" s="158"/>
      <c r="Q27" s="135"/>
      <c r="R27" s="136">
        <f>SUM(F27:Q27)</f>
        <v>137870.19</v>
      </c>
      <c r="S27" s="124"/>
      <c r="T27" s="124"/>
    </row>
    <row r="28" spans="5:20" s="133" customFormat="1" ht="20.100000000000001" customHeight="1">
      <c r="E28" s="137" t="s">
        <v>129</v>
      </c>
      <c r="F28" s="135"/>
      <c r="G28" s="135"/>
      <c r="H28" s="135"/>
      <c r="I28" s="135"/>
      <c r="J28" s="135"/>
      <c r="K28" s="135"/>
      <c r="L28" s="135"/>
      <c r="M28" s="135"/>
      <c r="N28" s="135"/>
      <c r="O28" s="135"/>
      <c r="P28" s="135"/>
      <c r="Q28" s="135"/>
      <c r="R28" s="136"/>
      <c r="S28" s="124"/>
      <c r="T28" s="124"/>
    </row>
    <row r="29" spans="5:20" s="133" customFormat="1" ht="20.100000000000001" customHeight="1">
      <c r="E29" s="134"/>
      <c r="F29" s="135"/>
      <c r="G29" s="135"/>
      <c r="H29" s="135"/>
      <c r="I29" s="135"/>
      <c r="J29" s="135"/>
      <c r="K29" s="135"/>
      <c r="L29" s="135"/>
      <c r="M29" s="135"/>
      <c r="N29" s="135"/>
      <c r="O29" s="135"/>
      <c r="P29" s="135"/>
      <c r="Q29" s="135"/>
      <c r="R29" s="136"/>
      <c r="S29" s="124"/>
      <c r="T29" s="124"/>
    </row>
    <row r="30" spans="5:20" s="124" customFormat="1" ht="20.100000000000001" customHeight="1">
      <c r="E30" s="134" t="s">
        <v>26</v>
      </c>
      <c r="F30" s="139">
        <f t="shared" ref="F30:Q30" si="6">F31+F32</f>
        <v>0</v>
      </c>
      <c r="G30" s="139">
        <f t="shared" si="6"/>
        <v>0</v>
      </c>
      <c r="H30" s="139">
        <f t="shared" si="6"/>
        <v>0</v>
      </c>
      <c r="I30" s="139">
        <f t="shared" si="6"/>
        <v>0</v>
      </c>
      <c r="J30" s="139">
        <f t="shared" si="6"/>
        <v>0</v>
      </c>
      <c r="K30" s="139">
        <f t="shared" si="6"/>
        <v>0</v>
      </c>
      <c r="L30" s="139">
        <f t="shared" si="6"/>
        <v>0</v>
      </c>
      <c r="M30" s="139">
        <f t="shared" si="6"/>
        <v>0</v>
      </c>
      <c r="N30" s="139">
        <f t="shared" si="6"/>
        <v>0</v>
      </c>
      <c r="O30" s="139">
        <f t="shared" si="6"/>
        <v>0</v>
      </c>
      <c r="P30" s="139">
        <f t="shared" si="6"/>
        <v>0</v>
      </c>
      <c r="Q30" s="139">
        <f t="shared" si="6"/>
        <v>0</v>
      </c>
      <c r="R30" s="136">
        <f>SUM(F30:Q30)</f>
        <v>0</v>
      </c>
    </row>
    <row r="31" spans="5:20" s="133" customFormat="1" ht="20.100000000000001" customHeight="1">
      <c r="E31" s="137" t="s">
        <v>101</v>
      </c>
      <c r="F31" s="139"/>
      <c r="G31" s="139"/>
      <c r="H31" s="139"/>
      <c r="I31" s="139"/>
      <c r="J31" s="139"/>
      <c r="K31" s="139"/>
      <c r="L31" s="139"/>
      <c r="M31" s="139"/>
      <c r="N31" s="139"/>
      <c r="O31" s="139"/>
      <c r="P31" s="139"/>
      <c r="Q31" s="139"/>
      <c r="R31" s="136"/>
      <c r="S31" s="124"/>
      <c r="T31" s="124"/>
    </row>
    <row r="32" spans="5:20" s="133" customFormat="1" ht="20.25" customHeight="1">
      <c r="E32" s="137" t="s">
        <v>100</v>
      </c>
      <c r="F32" s="139"/>
      <c r="G32" s="139"/>
      <c r="H32" s="139"/>
      <c r="I32" s="139"/>
      <c r="J32" s="139"/>
      <c r="K32" s="139"/>
      <c r="L32" s="139"/>
      <c r="M32" s="139"/>
      <c r="N32" s="139"/>
      <c r="O32" s="139"/>
      <c r="P32" s="139"/>
      <c r="Q32" s="139"/>
      <c r="R32" s="136"/>
      <c r="S32" s="124"/>
      <c r="T32" s="124"/>
    </row>
    <row r="33" spans="5:20" s="133" customFormat="1" ht="20.25" customHeight="1">
      <c r="E33" s="140"/>
      <c r="F33" s="139"/>
      <c r="G33" s="139"/>
      <c r="H33" s="139"/>
      <c r="I33" s="139"/>
      <c r="J33" s="139"/>
      <c r="K33" s="139"/>
      <c r="L33" s="139"/>
      <c r="M33" s="139"/>
      <c r="N33" s="139"/>
      <c r="O33" s="139"/>
      <c r="P33" s="139"/>
      <c r="Q33" s="139"/>
      <c r="R33" s="136"/>
      <c r="S33" s="124"/>
      <c r="T33" s="124"/>
    </row>
    <row r="34" spans="5:20" s="133" customFormat="1" ht="19.5" customHeight="1">
      <c r="E34" s="134" t="s">
        <v>66</v>
      </c>
      <c r="F34" s="136">
        <f t="shared" ref="F34:Q34" si="7">SUM(F35:F36)</f>
        <v>0</v>
      </c>
      <c r="G34" s="136">
        <f t="shared" si="7"/>
        <v>0</v>
      </c>
      <c r="H34" s="136">
        <f t="shared" si="7"/>
        <v>0</v>
      </c>
      <c r="I34" s="136">
        <f t="shared" si="7"/>
        <v>0</v>
      </c>
      <c r="J34" s="136">
        <f t="shared" si="7"/>
        <v>1153000</v>
      </c>
      <c r="K34" s="136">
        <f t="shared" si="7"/>
        <v>0</v>
      </c>
      <c r="L34" s="136">
        <f t="shared" si="7"/>
        <v>0</v>
      </c>
      <c r="M34" s="136">
        <f t="shared" si="7"/>
        <v>0</v>
      </c>
      <c r="N34" s="136">
        <f t="shared" si="7"/>
        <v>0</v>
      </c>
      <c r="O34" s="136">
        <f t="shared" si="7"/>
        <v>0</v>
      </c>
      <c r="P34" s="136">
        <f t="shared" si="7"/>
        <v>0</v>
      </c>
      <c r="Q34" s="136">
        <f t="shared" si="7"/>
        <v>0</v>
      </c>
      <c r="R34" s="136">
        <f>SUM(F34:Q34)</f>
        <v>1153000</v>
      </c>
      <c r="S34" s="124"/>
      <c r="T34" s="124"/>
    </row>
    <row r="35" spans="5:20" s="133" customFormat="1" ht="20.100000000000001" customHeight="1">
      <c r="E35" s="137" t="s">
        <v>67</v>
      </c>
      <c r="F35" s="135"/>
      <c r="G35" s="135"/>
      <c r="H35" s="135"/>
      <c r="I35" s="139"/>
      <c r="J35" s="139">
        <v>1153000</v>
      </c>
      <c r="K35" s="139"/>
      <c r="L35" s="139"/>
      <c r="M35" s="139"/>
      <c r="N35" s="139"/>
      <c r="O35" s="139"/>
      <c r="P35" s="139">
        <v>0</v>
      </c>
      <c r="Q35" s="139">
        <v>0</v>
      </c>
      <c r="R35" s="136">
        <f>SUM(F35:Q35)</f>
        <v>1153000</v>
      </c>
      <c r="S35" s="124"/>
      <c r="T35" s="124"/>
    </row>
    <row r="36" spans="5:20" s="133" customFormat="1" ht="20.100000000000001" customHeight="1">
      <c r="E36" s="137" t="s">
        <v>68</v>
      </c>
      <c r="F36" s="139"/>
      <c r="G36" s="139"/>
      <c r="H36" s="139"/>
      <c r="I36" s="139"/>
      <c r="J36" s="139"/>
      <c r="K36" s="139"/>
      <c r="L36" s="139"/>
      <c r="M36" s="139"/>
      <c r="N36" s="139"/>
      <c r="O36" s="139"/>
      <c r="P36" s="139"/>
      <c r="Q36" s="139"/>
      <c r="R36" s="136"/>
      <c r="S36" s="124"/>
      <c r="T36" s="124"/>
    </row>
    <row r="37" spans="5:20" s="124" customFormat="1" ht="20.100000000000001" customHeight="1">
      <c r="E37" s="141"/>
      <c r="F37" s="139"/>
      <c r="G37" s="139"/>
      <c r="H37" s="139"/>
      <c r="I37" s="139"/>
      <c r="J37" s="139"/>
      <c r="K37" s="139"/>
      <c r="L37" s="139"/>
      <c r="M37" s="139"/>
      <c r="N37" s="139"/>
      <c r="O37" s="139"/>
      <c r="P37" s="139"/>
      <c r="Q37" s="139"/>
      <c r="R37" s="136"/>
    </row>
    <row r="38" spans="5:20" s="133" customFormat="1" ht="33" customHeight="1">
      <c r="E38" s="128" t="s">
        <v>102</v>
      </c>
      <c r="F38" s="142">
        <f t="shared" ref="F38:Q38" si="8">F39+F42</f>
        <v>0</v>
      </c>
      <c r="G38" s="142">
        <f t="shared" si="8"/>
        <v>2279678</v>
      </c>
      <c r="H38" s="142">
        <f t="shared" si="8"/>
        <v>2279678</v>
      </c>
      <c r="I38" s="142">
        <f t="shared" si="8"/>
        <v>2279678</v>
      </c>
      <c r="J38" s="142">
        <f t="shared" si="8"/>
        <v>2279678</v>
      </c>
      <c r="K38" s="142">
        <f t="shared" si="8"/>
        <v>2279678</v>
      </c>
      <c r="L38" s="142">
        <f t="shared" si="8"/>
        <v>0</v>
      </c>
      <c r="M38" s="142">
        <f t="shared" si="8"/>
        <v>0</v>
      </c>
      <c r="N38" s="142">
        <f t="shared" si="8"/>
        <v>0</v>
      </c>
      <c r="O38" s="142">
        <f t="shared" si="8"/>
        <v>0</v>
      </c>
      <c r="P38" s="142">
        <f t="shared" si="8"/>
        <v>0</v>
      </c>
      <c r="Q38" s="142">
        <f t="shared" si="8"/>
        <v>0</v>
      </c>
      <c r="R38" s="142">
        <f>SUM(F38:Q38)</f>
        <v>11398390</v>
      </c>
      <c r="S38" s="124"/>
      <c r="T38" s="124"/>
    </row>
    <row r="39" spans="5:20" s="133" customFormat="1" ht="21" customHeight="1">
      <c r="E39" s="137" t="s">
        <v>18</v>
      </c>
      <c r="F39" s="139">
        <f>+F40</f>
        <v>0</v>
      </c>
      <c r="G39" s="139">
        <f t="shared" ref="G39:Q39" si="9">+G40</f>
        <v>2279678</v>
      </c>
      <c r="H39" s="139">
        <f t="shared" si="9"/>
        <v>2279678</v>
      </c>
      <c r="I39" s="139">
        <f t="shared" si="9"/>
        <v>2279678</v>
      </c>
      <c r="J39" s="139">
        <f t="shared" si="9"/>
        <v>2279678</v>
      </c>
      <c r="K39" s="139">
        <f t="shared" si="9"/>
        <v>2279678</v>
      </c>
      <c r="L39" s="139">
        <f t="shared" si="9"/>
        <v>0</v>
      </c>
      <c r="M39" s="139">
        <f t="shared" si="9"/>
        <v>0</v>
      </c>
      <c r="N39" s="139">
        <f t="shared" si="9"/>
        <v>0</v>
      </c>
      <c r="O39" s="139">
        <f t="shared" si="9"/>
        <v>0</v>
      </c>
      <c r="P39" s="139">
        <f t="shared" si="9"/>
        <v>0</v>
      </c>
      <c r="Q39" s="139">
        <f t="shared" si="9"/>
        <v>0</v>
      </c>
      <c r="R39" s="136">
        <f>SUM(F39:Q39)</f>
        <v>11398390</v>
      </c>
      <c r="S39" s="132"/>
      <c r="T39" s="132"/>
    </row>
    <row r="40" spans="5:20" s="133" customFormat="1" ht="20.100000000000001" customHeight="1">
      <c r="E40" s="137" t="s">
        <v>19</v>
      </c>
      <c r="F40" s="143">
        <v>0</v>
      </c>
      <c r="G40" s="143">
        <v>2279678</v>
      </c>
      <c r="H40" s="143">
        <v>2279678</v>
      </c>
      <c r="I40" s="143">
        <v>2279678</v>
      </c>
      <c r="J40" s="143">
        <v>2279678</v>
      </c>
      <c r="K40" s="143">
        <v>2279678</v>
      </c>
      <c r="L40" s="143">
        <v>0</v>
      </c>
      <c r="M40" s="143">
        <v>0</v>
      </c>
      <c r="N40" s="143">
        <v>0</v>
      </c>
      <c r="O40" s="143">
        <v>0</v>
      </c>
      <c r="P40" s="143">
        <v>0</v>
      </c>
      <c r="Q40" s="143">
        <v>0</v>
      </c>
      <c r="R40" s="144">
        <f>SUM(F40:Q40)</f>
        <v>11398390</v>
      </c>
      <c r="S40" s="124"/>
      <c r="T40" s="124"/>
    </row>
    <row r="41" spans="5:20" s="124" customFormat="1" ht="15" customHeight="1">
      <c r="E41" s="137" t="s">
        <v>20</v>
      </c>
      <c r="F41" s="143"/>
      <c r="G41" s="143"/>
      <c r="H41" s="143"/>
      <c r="I41" s="143"/>
      <c r="J41" s="143"/>
      <c r="K41" s="143"/>
      <c r="L41" s="143"/>
      <c r="M41" s="143"/>
      <c r="N41" s="143"/>
      <c r="O41" s="143"/>
      <c r="P41" s="143"/>
      <c r="Q41" s="143"/>
      <c r="R41" s="144"/>
    </row>
    <row r="42" spans="5:20" s="124" customFormat="1" ht="15" customHeight="1">
      <c r="E42" s="137" t="s">
        <v>21</v>
      </c>
      <c r="F42" s="139">
        <f t="shared" ref="F42:Q42" si="10">F43+F44</f>
        <v>0</v>
      </c>
      <c r="G42" s="139">
        <f t="shared" si="10"/>
        <v>0</v>
      </c>
      <c r="H42" s="139">
        <f t="shared" si="10"/>
        <v>0</v>
      </c>
      <c r="I42" s="139">
        <f t="shared" si="10"/>
        <v>0</v>
      </c>
      <c r="J42" s="139">
        <f t="shared" si="10"/>
        <v>0</v>
      </c>
      <c r="K42" s="139">
        <f t="shared" si="10"/>
        <v>0</v>
      </c>
      <c r="L42" s="139">
        <f t="shared" si="10"/>
        <v>0</v>
      </c>
      <c r="M42" s="139">
        <f t="shared" si="10"/>
        <v>0</v>
      </c>
      <c r="N42" s="139">
        <f t="shared" si="10"/>
        <v>0</v>
      </c>
      <c r="O42" s="139">
        <f t="shared" si="10"/>
        <v>0</v>
      </c>
      <c r="P42" s="139">
        <f t="shared" si="10"/>
        <v>0</v>
      </c>
      <c r="Q42" s="139">
        <f t="shared" si="10"/>
        <v>0</v>
      </c>
      <c r="R42" s="136">
        <f>SUM(F42:Q42)</f>
        <v>0</v>
      </c>
    </row>
    <row r="43" spans="5:20" s="124" customFormat="1" ht="20.100000000000001" customHeight="1">
      <c r="E43" s="137" t="s">
        <v>19</v>
      </c>
      <c r="F43" s="143"/>
      <c r="G43" s="143"/>
      <c r="H43" s="143"/>
      <c r="I43" s="143"/>
      <c r="J43" s="143"/>
      <c r="K43" s="143"/>
      <c r="L43" s="143"/>
      <c r="M43" s="143"/>
      <c r="N43" s="143"/>
      <c r="O43" s="143"/>
      <c r="P43" s="143"/>
      <c r="Q43" s="143"/>
      <c r="R43" s="144"/>
    </row>
    <row r="44" spans="5:20" s="124" customFormat="1" ht="15" customHeight="1">
      <c r="E44" s="137" t="s">
        <v>22</v>
      </c>
      <c r="F44" s="143"/>
      <c r="G44" s="143"/>
      <c r="H44" s="143"/>
      <c r="I44" s="143"/>
      <c r="J44" s="143"/>
      <c r="K44" s="143"/>
      <c r="L44" s="143"/>
      <c r="M44" s="143"/>
      <c r="N44" s="143"/>
      <c r="O44" s="143"/>
      <c r="P44" s="143"/>
      <c r="Q44" s="143"/>
      <c r="R44" s="144"/>
    </row>
    <row r="45" spans="5:20" s="124" customFormat="1" ht="39" customHeight="1">
      <c r="E45" s="128" t="s">
        <v>96</v>
      </c>
      <c r="F45" s="142">
        <f t="shared" ref="F45:Q45" si="11">F46+F47</f>
        <v>0</v>
      </c>
      <c r="G45" s="142">
        <f t="shared" si="11"/>
        <v>0</v>
      </c>
      <c r="H45" s="142">
        <f t="shared" si="11"/>
        <v>0</v>
      </c>
      <c r="I45" s="142">
        <f t="shared" si="11"/>
        <v>0</v>
      </c>
      <c r="J45" s="142">
        <f t="shared" si="11"/>
        <v>0</v>
      </c>
      <c r="K45" s="142">
        <f t="shared" si="11"/>
        <v>0</v>
      </c>
      <c r="L45" s="142">
        <f t="shared" si="11"/>
        <v>0</v>
      </c>
      <c r="M45" s="142">
        <f t="shared" si="11"/>
        <v>0</v>
      </c>
      <c r="N45" s="142">
        <f t="shared" si="11"/>
        <v>0</v>
      </c>
      <c r="O45" s="142">
        <f t="shared" si="11"/>
        <v>0</v>
      </c>
      <c r="P45" s="142">
        <f t="shared" si="11"/>
        <v>0</v>
      </c>
      <c r="Q45" s="142">
        <f t="shared" si="11"/>
        <v>0</v>
      </c>
      <c r="R45" s="142">
        <f>SUM(F45:Q45)</f>
        <v>0</v>
      </c>
    </row>
    <row r="46" spans="5:20" s="133" customFormat="1" ht="18" customHeight="1">
      <c r="E46" s="137" t="s">
        <v>18</v>
      </c>
      <c r="F46" s="139"/>
      <c r="G46" s="139"/>
      <c r="H46" s="139"/>
      <c r="I46" s="139"/>
      <c r="J46" s="139"/>
      <c r="K46" s="139"/>
      <c r="L46" s="139"/>
      <c r="M46" s="139"/>
      <c r="N46" s="139"/>
      <c r="O46" s="139"/>
      <c r="P46" s="139"/>
      <c r="Q46" s="139"/>
      <c r="R46" s="136"/>
      <c r="S46" s="132"/>
      <c r="T46" s="132"/>
    </row>
    <row r="47" spans="5:20" s="133" customFormat="1" ht="20.100000000000001" customHeight="1">
      <c r="E47" s="137" t="s">
        <v>21</v>
      </c>
      <c r="F47" s="139"/>
      <c r="G47" s="139"/>
      <c r="H47" s="139"/>
      <c r="I47" s="139"/>
      <c r="J47" s="139"/>
      <c r="K47" s="139"/>
      <c r="L47" s="139"/>
      <c r="M47" s="139"/>
      <c r="N47" s="139"/>
      <c r="O47" s="139"/>
      <c r="P47" s="139"/>
      <c r="Q47" s="139"/>
      <c r="R47" s="136"/>
      <c r="S47" s="124"/>
      <c r="T47" s="124"/>
    </row>
    <row r="48" spans="5:20" s="133" customFormat="1" ht="20.100000000000001" customHeight="1">
      <c r="E48" s="128" t="s">
        <v>92</v>
      </c>
      <c r="F48" s="142">
        <f t="shared" ref="F48:Q48" si="12">+F49</f>
        <v>0</v>
      </c>
      <c r="G48" s="142">
        <f t="shared" si="12"/>
        <v>0</v>
      </c>
      <c r="H48" s="142">
        <f t="shared" si="12"/>
        <v>0</v>
      </c>
      <c r="I48" s="142">
        <f t="shared" si="12"/>
        <v>0</v>
      </c>
      <c r="J48" s="142">
        <f t="shared" si="12"/>
        <v>0</v>
      </c>
      <c r="K48" s="142">
        <f t="shared" si="12"/>
        <v>0</v>
      </c>
      <c r="L48" s="142">
        <f t="shared" si="12"/>
        <v>0</v>
      </c>
      <c r="M48" s="142">
        <f t="shared" si="12"/>
        <v>0</v>
      </c>
      <c r="N48" s="142">
        <f t="shared" si="12"/>
        <v>0</v>
      </c>
      <c r="O48" s="142">
        <f t="shared" si="12"/>
        <v>0</v>
      </c>
      <c r="P48" s="142">
        <f t="shared" si="12"/>
        <v>0</v>
      </c>
      <c r="Q48" s="142">
        <f t="shared" si="12"/>
        <v>0</v>
      </c>
      <c r="R48" s="142">
        <f>SUM(F48:Q48)</f>
        <v>0</v>
      </c>
      <c r="S48" s="124"/>
      <c r="T48" s="124"/>
    </row>
    <row r="49" spans="5:20" s="133" customFormat="1" ht="23.45" customHeight="1">
      <c r="E49" s="134" t="s">
        <v>93</v>
      </c>
      <c r="F49" s="136">
        <f t="shared" ref="F49:Q49" si="13">+F50+F51</f>
        <v>0</v>
      </c>
      <c r="G49" s="136">
        <f t="shared" si="13"/>
        <v>0</v>
      </c>
      <c r="H49" s="136">
        <f t="shared" si="13"/>
        <v>0</v>
      </c>
      <c r="I49" s="136">
        <f t="shared" si="13"/>
        <v>0</v>
      </c>
      <c r="J49" s="136">
        <f t="shared" si="13"/>
        <v>0</v>
      </c>
      <c r="K49" s="136">
        <f t="shared" si="13"/>
        <v>0</v>
      </c>
      <c r="L49" s="136">
        <f t="shared" si="13"/>
        <v>0</v>
      </c>
      <c r="M49" s="136">
        <f t="shared" si="13"/>
        <v>0</v>
      </c>
      <c r="N49" s="136">
        <f t="shared" si="13"/>
        <v>0</v>
      </c>
      <c r="O49" s="136">
        <f t="shared" si="13"/>
        <v>0</v>
      </c>
      <c r="P49" s="136">
        <f t="shared" si="13"/>
        <v>0</v>
      </c>
      <c r="Q49" s="136">
        <f t="shared" si="13"/>
        <v>0</v>
      </c>
      <c r="R49" s="136">
        <f>SUM(F49:Q49)</f>
        <v>0</v>
      </c>
      <c r="S49" s="124"/>
      <c r="T49" s="124"/>
    </row>
    <row r="50" spans="5:20" s="133"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132"/>
      <c r="T50" s="132"/>
    </row>
    <row r="51" spans="5:20" s="133"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124"/>
      <c r="T51" s="124"/>
    </row>
    <row r="52" spans="5:20" s="133" customFormat="1" ht="19.5" customHeight="1" thickBot="1">
      <c r="E52" s="145"/>
      <c r="F52" s="146"/>
      <c r="G52" s="146"/>
      <c r="H52" s="146"/>
      <c r="I52" s="146"/>
      <c r="J52" s="146"/>
      <c r="K52" s="146"/>
      <c r="L52" s="146"/>
      <c r="M52" s="146"/>
      <c r="N52" s="146"/>
      <c r="O52" s="146"/>
      <c r="P52" s="146"/>
      <c r="Q52" s="146"/>
      <c r="R52" s="146"/>
      <c r="S52" s="147"/>
      <c r="T52" s="124"/>
    </row>
    <row r="53" spans="5:20" s="150" customFormat="1" ht="20.100000000000001" customHeight="1" thickTop="1" thickBot="1">
      <c r="E53" s="145"/>
      <c r="F53" s="146"/>
      <c r="G53" s="146"/>
      <c r="H53" s="146"/>
      <c r="I53" s="146"/>
      <c r="J53" s="146"/>
      <c r="K53" s="146"/>
      <c r="L53" s="146"/>
      <c r="M53" s="146"/>
      <c r="N53" s="146"/>
      <c r="O53" s="146"/>
      <c r="P53" s="146"/>
      <c r="Q53" s="146"/>
      <c r="R53" s="146"/>
      <c r="S53" s="148"/>
      <c r="T53" s="149"/>
    </row>
    <row r="54" spans="5:20" s="150" customFormat="1" ht="15" thickTop="1">
      <c r="E54" s="151" t="s">
        <v>43</v>
      </c>
      <c r="F54" s="152"/>
      <c r="G54" s="152"/>
      <c r="H54" s="152"/>
      <c r="I54" s="152"/>
      <c r="J54" s="152"/>
      <c r="K54" s="152"/>
      <c r="L54" s="152"/>
      <c r="M54" s="152"/>
      <c r="N54" s="152"/>
      <c r="O54" s="152"/>
      <c r="P54" s="152"/>
      <c r="Q54" s="152"/>
      <c r="R54" s="152"/>
      <c r="S54" s="148"/>
      <c r="T54" s="149"/>
    </row>
    <row r="55" spans="5:20" s="150" customFormat="1" ht="14.25">
      <c r="E55" s="151" t="s">
        <v>44</v>
      </c>
      <c r="F55" s="152"/>
      <c r="G55" s="152"/>
      <c r="H55" s="152"/>
      <c r="I55" s="152"/>
      <c r="J55" s="152"/>
      <c r="K55" s="152"/>
      <c r="L55" s="152"/>
      <c r="M55" s="152"/>
      <c r="N55" s="152"/>
      <c r="O55" s="152"/>
      <c r="P55" s="152"/>
      <c r="Q55" s="152"/>
      <c r="R55" s="152"/>
    </row>
    <row r="56" spans="5:20" s="150" customFormat="1" ht="28.5" customHeight="1">
      <c r="E56" s="151"/>
      <c r="F56" s="152"/>
      <c r="G56" s="152"/>
      <c r="H56" s="152"/>
      <c r="I56" s="152"/>
      <c r="J56" s="152"/>
      <c r="K56" s="152"/>
      <c r="L56" s="152"/>
      <c r="M56" s="152"/>
      <c r="N56" s="152"/>
      <c r="O56" s="152"/>
      <c r="P56" s="152"/>
      <c r="Q56" s="152"/>
      <c r="R56" s="152"/>
    </row>
    <row r="57" spans="5:20" s="150" customFormat="1" ht="14.25">
      <c r="E57" s="151"/>
      <c r="F57" s="152"/>
      <c r="G57" s="152"/>
      <c r="H57" s="152"/>
      <c r="I57" s="152"/>
      <c r="J57" s="152"/>
      <c r="K57" s="152"/>
      <c r="L57" s="152"/>
      <c r="M57" s="152"/>
      <c r="N57" s="152"/>
      <c r="O57" s="152"/>
      <c r="P57" s="152"/>
      <c r="Q57" s="152"/>
      <c r="R57" s="152"/>
    </row>
    <row r="58" spans="5:20" s="150" customFormat="1" ht="14.25">
      <c r="E58" s="201" t="s">
        <v>117</v>
      </c>
      <c r="F58" s="153"/>
      <c r="G58" s="153"/>
      <c r="H58" s="154"/>
      <c r="I58" s="154"/>
      <c r="J58" s="200" t="s">
        <v>119</v>
      </c>
      <c r="K58" s="154"/>
      <c r="L58" s="154"/>
      <c r="M58" s="154"/>
      <c r="N58" s="154"/>
      <c r="O58" s="198" t="s">
        <v>98</v>
      </c>
      <c r="P58" s="154"/>
      <c r="Q58" s="154"/>
      <c r="R58" s="154"/>
      <c r="S58" s="155"/>
      <c r="T58" s="155"/>
    </row>
    <row r="59" spans="5:20" ht="21" customHeight="1">
      <c r="E59" s="196" t="s">
        <v>114</v>
      </c>
      <c r="F59" s="156"/>
      <c r="G59" s="153"/>
      <c r="H59" s="154"/>
      <c r="I59" s="154"/>
      <c r="J59" s="371" t="s">
        <v>128</v>
      </c>
      <c r="K59" s="371"/>
      <c r="L59" s="371"/>
      <c r="M59" s="371"/>
      <c r="N59" s="371"/>
      <c r="O59" s="198" t="s">
        <v>115</v>
      </c>
      <c r="P59" s="197"/>
      <c r="Q59" s="197"/>
      <c r="R59" s="199"/>
      <c r="S59" s="157"/>
      <c r="T59" s="157"/>
    </row>
    <row r="60" spans="5:20" ht="42.75" customHeight="1">
      <c r="E60" s="368" t="s">
        <v>118</v>
      </c>
      <c r="F60" s="368"/>
      <c r="G60" s="368"/>
      <c r="H60" s="154"/>
      <c r="I60" s="154"/>
      <c r="J60" s="369" t="s">
        <v>130</v>
      </c>
      <c r="K60" s="369"/>
      <c r="L60" s="369"/>
      <c r="M60" s="369"/>
      <c r="N60" s="197"/>
      <c r="O60" s="370" t="s">
        <v>116</v>
      </c>
      <c r="P60" s="368"/>
      <c r="Q60" s="368"/>
      <c r="R60" s="368"/>
      <c r="S60" s="157"/>
      <c r="T60" s="157"/>
    </row>
    <row r="61" spans="5:20">
      <c r="F61" s="157"/>
      <c r="G61" s="157"/>
      <c r="H61" s="157"/>
      <c r="I61" s="157"/>
      <c r="J61" s="157"/>
      <c r="K61" s="157"/>
      <c r="L61" s="157"/>
      <c r="M61" s="157"/>
      <c r="N61" s="157"/>
      <c r="O61" s="157"/>
      <c r="P61" s="157"/>
      <c r="Q61" s="157"/>
      <c r="R61" s="157"/>
    </row>
    <row r="62" spans="5:20">
      <c r="F62" s="157"/>
      <c r="G62" s="157"/>
      <c r="H62" s="157"/>
      <c r="I62" s="157"/>
      <c r="J62" s="157"/>
      <c r="K62" s="157"/>
      <c r="L62" s="157"/>
      <c r="M62" s="157"/>
      <c r="N62" s="157"/>
      <c r="O62" s="157"/>
      <c r="P62" s="157"/>
      <c r="Q62" s="157"/>
      <c r="R62" s="157"/>
    </row>
    <row r="63" spans="5:20">
      <c r="F63" s="157"/>
      <c r="G63" s="157"/>
      <c r="H63" s="157"/>
      <c r="I63" s="157"/>
      <c r="J63" s="157"/>
      <c r="K63" s="157"/>
      <c r="L63" s="157"/>
      <c r="M63" s="157"/>
      <c r="N63" s="157"/>
      <c r="O63" s="157"/>
      <c r="P63" s="157"/>
      <c r="Q63" s="157"/>
      <c r="R63" s="157"/>
    </row>
    <row r="64" spans="5:20">
      <c r="F64" s="157"/>
      <c r="G64" s="157"/>
      <c r="H64" s="157"/>
      <c r="I64" s="157"/>
      <c r="J64" s="157"/>
      <c r="K64" s="157"/>
      <c r="L64" s="157"/>
      <c r="M64" s="157"/>
      <c r="N64" s="157"/>
      <c r="O64" s="157"/>
      <c r="P64" s="157"/>
      <c r="Q64" s="157"/>
      <c r="R64" s="157"/>
    </row>
    <row r="65" spans="6:18">
      <c r="F65" s="157"/>
      <c r="G65" s="157"/>
      <c r="H65" s="157"/>
      <c r="I65" s="157"/>
      <c r="J65" s="157"/>
      <c r="K65" s="157"/>
      <c r="L65" s="157"/>
      <c r="M65" s="157"/>
      <c r="N65" s="157"/>
      <c r="O65" s="157"/>
      <c r="P65" s="157"/>
      <c r="Q65" s="157"/>
      <c r="R65" s="157"/>
    </row>
    <row r="66" spans="6:18">
      <c r="F66" s="157"/>
      <c r="G66" s="157"/>
      <c r="H66" s="157"/>
      <c r="I66" s="157"/>
      <c r="J66" s="157"/>
      <c r="K66" s="157"/>
      <c r="L66" s="157"/>
      <c r="M66" s="157"/>
      <c r="N66" s="157"/>
      <c r="O66" s="157"/>
      <c r="P66" s="157"/>
      <c r="Q66" s="157"/>
      <c r="R66" s="157"/>
    </row>
    <row r="67" spans="6:18">
      <c r="F67" s="157"/>
      <c r="G67" s="157"/>
      <c r="H67" s="157"/>
      <c r="I67" s="157"/>
      <c r="J67" s="157"/>
      <c r="K67" s="157"/>
      <c r="L67" s="157"/>
      <c r="M67" s="157"/>
      <c r="N67" s="157"/>
      <c r="O67" s="157"/>
      <c r="P67" s="157"/>
      <c r="Q67" s="157"/>
      <c r="R67" s="157"/>
    </row>
    <row r="68" spans="6:18">
      <c r="F68" s="157"/>
      <c r="G68" s="157"/>
      <c r="H68" s="157"/>
      <c r="I68" s="157"/>
      <c r="J68" s="157"/>
      <c r="K68" s="157"/>
      <c r="L68" s="157"/>
      <c r="M68" s="157"/>
      <c r="N68" s="157"/>
      <c r="O68" s="157"/>
      <c r="P68" s="157"/>
      <c r="Q68" s="157"/>
      <c r="R68" s="157"/>
    </row>
    <row r="69" spans="6:18">
      <c r="F69" s="157"/>
      <c r="G69" s="157"/>
      <c r="H69" s="157"/>
      <c r="I69" s="157"/>
      <c r="J69" s="157"/>
      <c r="K69" s="157"/>
      <c r="L69" s="157"/>
      <c r="M69" s="157"/>
      <c r="N69" s="157"/>
      <c r="O69" s="157"/>
      <c r="P69" s="157"/>
      <c r="Q69" s="157"/>
      <c r="R69" s="157"/>
    </row>
    <row r="70" spans="6:18">
      <c r="F70" s="157"/>
      <c r="G70" s="157"/>
      <c r="H70" s="157"/>
      <c r="I70" s="157"/>
      <c r="J70" s="157"/>
      <c r="K70" s="157"/>
      <c r="L70" s="157"/>
      <c r="M70" s="157"/>
      <c r="N70" s="157"/>
      <c r="O70" s="157"/>
      <c r="P70" s="157"/>
      <c r="Q70" s="157"/>
      <c r="R70" s="157"/>
    </row>
    <row r="71" spans="6:18">
      <c r="F71" s="157"/>
      <c r="G71" s="157"/>
      <c r="H71" s="157"/>
      <c r="I71" s="157"/>
      <c r="J71" s="157"/>
      <c r="K71" s="157"/>
      <c r="L71" s="157"/>
      <c r="M71" s="157"/>
      <c r="N71" s="157"/>
      <c r="O71" s="157"/>
      <c r="P71" s="157"/>
      <c r="Q71" s="157"/>
      <c r="R71" s="157"/>
    </row>
    <row r="72" spans="6:18">
      <c r="F72" s="157"/>
      <c r="G72" s="157"/>
      <c r="H72" s="157"/>
      <c r="I72" s="157"/>
      <c r="J72" s="157"/>
      <c r="K72" s="157"/>
      <c r="L72" s="157"/>
      <c r="M72" s="157"/>
      <c r="N72" s="157"/>
      <c r="O72" s="157"/>
      <c r="P72" s="157"/>
      <c r="Q72" s="157"/>
      <c r="R72" s="157"/>
    </row>
    <row r="73" spans="6:18">
      <c r="F73" s="157"/>
      <c r="G73" s="157"/>
      <c r="H73" s="157"/>
      <c r="I73" s="157"/>
      <c r="J73" s="157"/>
      <c r="K73" s="157"/>
      <c r="L73" s="157"/>
      <c r="M73" s="157"/>
      <c r="N73" s="157"/>
      <c r="O73" s="157"/>
      <c r="P73" s="157"/>
      <c r="Q73" s="157"/>
      <c r="R73" s="157"/>
    </row>
    <row r="74" spans="6:18">
      <c r="F74" s="157"/>
      <c r="G74" s="157"/>
      <c r="H74" s="157"/>
      <c r="I74" s="157"/>
      <c r="J74" s="157"/>
      <c r="K74" s="157"/>
      <c r="L74" s="157"/>
      <c r="M74" s="157"/>
      <c r="N74" s="157"/>
      <c r="O74" s="157"/>
      <c r="P74" s="157"/>
      <c r="Q74" s="157"/>
      <c r="R74" s="157"/>
    </row>
    <row r="75" spans="6:18">
      <c r="F75" s="157"/>
      <c r="G75" s="157"/>
      <c r="H75" s="157"/>
      <c r="I75" s="157"/>
      <c r="J75" s="157"/>
      <c r="K75" s="157"/>
      <c r="L75" s="157"/>
      <c r="M75" s="157"/>
      <c r="N75" s="157"/>
      <c r="O75" s="157"/>
      <c r="P75" s="157"/>
      <c r="Q75" s="157"/>
      <c r="R75" s="157"/>
    </row>
    <row r="76" spans="6:18">
      <c r="F76" s="157"/>
      <c r="G76" s="157"/>
      <c r="H76" s="157"/>
      <c r="I76" s="157"/>
      <c r="J76" s="157"/>
      <c r="K76" s="157"/>
      <c r="L76" s="157"/>
      <c r="M76" s="157"/>
      <c r="N76" s="157"/>
      <c r="O76" s="157"/>
      <c r="P76" s="157"/>
      <c r="Q76" s="157"/>
      <c r="R76" s="157"/>
    </row>
    <row r="77" spans="6:18">
      <c r="F77" s="157"/>
      <c r="G77" s="157"/>
      <c r="H77" s="157"/>
      <c r="I77" s="157"/>
      <c r="J77" s="157"/>
      <c r="K77" s="157"/>
      <c r="L77" s="157"/>
      <c r="M77" s="157"/>
      <c r="N77" s="157"/>
      <c r="O77" s="157"/>
      <c r="P77" s="157"/>
      <c r="Q77" s="157"/>
      <c r="R77" s="157"/>
    </row>
    <row r="78" spans="6:18">
      <c r="F78" s="157"/>
      <c r="G78" s="157"/>
      <c r="H78" s="157"/>
      <c r="I78" s="157"/>
      <c r="J78" s="157"/>
      <c r="K78" s="157"/>
      <c r="L78" s="157"/>
      <c r="M78" s="157"/>
      <c r="N78" s="157"/>
      <c r="O78" s="157"/>
      <c r="P78" s="157"/>
      <c r="Q78" s="157"/>
      <c r="R78" s="157"/>
    </row>
    <row r="79" spans="6:18">
      <c r="F79" s="157"/>
      <c r="G79" s="157"/>
      <c r="H79" s="157"/>
      <c r="I79" s="157"/>
      <c r="J79" s="157"/>
      <c r="K79" s="157"/>
      <c r="L79" s="157"/>
      <c r="M79" s="157"/>
      <c r="N79" s="157"/>
      <c r="O79" s="157"/>
      <c r="P79" s="157"/>
      <c r="Q79" s="157"/>
      <c r="R79" s="157"/>
    </row>
    <row r="80" spans="6:18">
      <c r="F80" s="157"/>
      <c r="G80" s="157"/>
      <c r="H80" s="157"/>
      <c r="I80" s="157"/>
      <c r="J80" s="157"/>
      <c r="K80" s="157"/>
      <c r="L80" s="157"/>
      <c r="M80" s="157"/>
      <c r="N80" s="157"/>
      <c r="O80" s="157"/>
      <c r="P80" s="157"/>
      <c r="Q80" s="157"/>
      <c r="R80" s="157"/>
    </row>
    <row r="81" spans="6:18">
      <c r="F81" s="157"/>
      <c r="G81" s="157"/>
      <c r="H81" s="157"/>
      <c r="I81" s="157"/>
      <c r="J81" s="157"/>
      <c r="K81" s="157"/>
      <c r="L81" s="157"/>
      <c r="M81" s="157"/>
      <c r="N81" s="157"/>
      <c r="O81" s="157"/>
      <c r="P81" s="157"/>
      <c r="Q81" s="157"/>
      <c r="R81" s="157"/>
    </row>
    <row r="82" spans="6:18">
      <c r="F82" s="157"/>
      <c r="G82" s="157"/>
      <c r="H82" s="157"/>
      <c r="I82" s="157"/>
      <c r="J82" s="157"/>
      <c r="K82" s="157"/>
      <c r="L82" s="157"/>
      <c r="M82" s="157"/>
      <c r="N82" s="157"/>
      <c r="O82" s="157"/>
      <c r="P82" s="157"/>
      <c r="Q82" s="157"/>
      <c r="R82" s="157"/>
    </row>
    <row r="83" spans="6:18">
      <c r="F83" s="157"/>
      <c r="G83" s="157"/>
      <c r="H83" s="157"/>
      <c r="I83" s="157"/>
      <c r="J83" s="157"/>
      <c r="K83" s="157"/>
      <c r="L83" s="157"/>
      <c r="M83" s="157"/>
      <c r="N83" s="157"/>
      <c r="O83" s="157"/>
      <c r="P83" s="157"/>
      <c r="Q83" s="157"/>
      <c r="R83" s="157"/>
    </row>
    <row r="84" spans="6:18">
      <c r="F84" s="157"/>
      <c r="G84" s="157"/>
      <c r="H84" s="157"/>
      <c r="I84" s="157"/>
      <c r="J84" s="157"/>
      <c r="K84" s="157"/>
      <c r="L84" s="157"/>
      <c r="M84" s="157"/>
      <c r="N84" s="157"/>
      <c r="O84" s="157"/>
      <c r="P84" s="157"/>
      <c r="Q84" s="157"/>
      <c r="R84" s="157"/>
    </row>
    <row r="85" spans="6:18">
      <c r="F85" s="157"/>
      <c r="G85" s="157"/>
      <c r="H85" s="157"/>
      <c r="I85" s="157"/>
      <c r="J85" s="157"/>
      <c r="K85" s="157"/>
      <c r="L85" s="157"/>
      <c r="M85" s="157"/>
      <c r="N85" s="157"/>
      <c r="O85" s="157"/>
      <c r="P85" s="157"/>
      <c r="Q85" s="157"/>
      <c r="R85" s="157"/>
    </row>
    <row r="86" spans="6:18">
      <c r="F86" s="157"/>
      <c r="G86" s="157"/>
      <c r="H86" s="157"/>
      <c r="I86" s="157"/>
      <c r="J86" s="157"/>
      <c r="K86" s="157"/>
      <c r="L86" s="157"/>
      <c r="M86" s="157"/>
      <c r="N86" s="157"/>
      <c r="O86" s="157"/>
      <c r="P86" s="157"/>
      <c r="Q86" s="157"/>
      <c r="R86" s="157"/>
    </row>
    <row r="87" spans="6:18">
      <c r="F87" s="157"/>
      <c r="G87" s="157"/>
      <c r="H87" s="157"/>
      <c r="I87" s="157"/>
      <c r="J87" s="157"/>
      <c r="K87" s="157"/>
      <c r="L87" s="157"/>
      <c r="M87" s="157"/>
      <c r="N87" s="157"/>
      <c r="O87" s="157"/>
      <c r="P87" s="157"/>
      <c r="Q87" s="157"/>
      <c r="R87" s="157"/>
    </row>
    <row r="88" spans="6:18">
      <c r="F88" s="157"/>
      <c r="G88" s="157"/>
      <c r="H88" s="157"/>
      <c r="I88" s="157"/>
      <c r="J88" s="157"/>
      <c r="K88" s="157"/>
      <c r="L88" s="157"/>
      <c r="M88" s="157"/>
      <c r="N88" s="157"/>
      <c r="O88" s="157"/>
      <c r="P88" s="157"/>
      <c r="Q88" s="157"/>
      <c r="R88" s="157"/>
    </row>
    <row r="89" spans="6:18">
      <c r="F89" s="157"/>
      <c r="G89" s="157"/>
      <c r="H89" s="157"/>
      <c r="I89" s="157"/>
      <c r="J89" s="157"/>
      <c r="K89" s="157"/>
      <c r="L89" s="157"/>
      <c r="M89" s="157"/>
      <c r="N89" s="157"/>
      <c r="O89" s="157"/>
      <c r="P89" s="157"/>
      <c r="Q89" s="157"/>
      <c r="R89" s="157"/>
    </row>
    <row r="90" spans="6:18">
      <c r="F90" s="157"/>
      <c r="G90" s="157"/>
      <c r="H90" s="157"/>
      <c r="I90" s="157"/>
      <c r="J90" s="157"/>
      <c r="K90" s="157"/>
      <c r="L90" s="157"/>
      <c r="M90" s="157"/>
      <c r="N90" s="157"/>
      <c r="O90" s="157"/>
      <c r="P90" s="157"/>
      <c r="Q90" s="157"/>
      <c r="R90" s="157"/>
    </row>
    <row r="91" spans="6:18">
      <c r="F91" s="157"/>
      <c r="G91" s="157"/>
      <c r="H91" s="157"/>
      <c r="I91" s="157"/>
      <c r="J91" s="157"/>
      <c r="K91" s="157"/>
      <c r="L91" s="157"/>
      <c r="M91" s="157"/>
      <c r="N91" s="157"/>
      <c r="O91" s="157"/>
      <c r="P91" s="157"/>
      <c r="Q91" s="157"/>
      <c r="R91" s="157"/>
    </row>
    <row r="92" spans="6:18">
      <c r="F92" s="157"/>
      <c r="G92" s="157"/>
      <c r="H92" s="157"/>
      <c r="I92" s="157"/>
      <c r="J92" s="157"/>
      <c r="K92" s="157"/>
      <c r="L92" s="157"/>
      <c r="M92" s="157"/>
      <c r="N92" s="157"/>
      <c r="O92" s="157"/>
      <c r="P92" s="157"/>
      <c r="Q92" s="157"/>
      <c r="R92" s="157"/>
    </row>
    <row r="93" spans="6:18">
      <c r="F93" s="157"/>
      <c r="G93" s="157"/>
      <c r="H93" s="157"/>
      <c r="I93" s="157"/>
      <c r="J93" s="157"/>
      <c r="K93" s="157"/>
      <c r="L93" s="157"/>
      <c r="M93" s="157"/>
      <c r="N93" s="157"/>
      <c r="O93" s="157"/>
      <c r="P93" s="157"/>
      <c r="Q93" s="157"/>
      <c r="R93" s="157"/>
    </row>
    <row r="94" spans="6:18">
      <c r="F94" s="157"/>
      <c r="G94" s="157"/>
      <c r="H94" s="157"/>
      <c r="I94" s="157"/>
      <c r="J94" s="157"/>
      <c r="K94" s="157"/>
      <c r="L94" s="157"/>
      <c r="M94" s="157"/>
      <c r="N94" s="157"/>
      <c r="O94" s="157"/>
      <c r="P94" s="157"/>
      <c r="Q94" s="157"/>
      <c r="R94" s="157"/>
    </row>
    <row r="95" spans="6:18">
      <c r="F95" s="157"/>
      <c r="G95" s="157"/>
      <c r="H95" s="157"/>
      <c r="I95" s="157"/>
      <c r="J95" s="157"/>
      <c r="K95" s="157"/>
      <c r="L95" s="157"/>
      <c r="M95" s="157"/>
      <c r="N95" s="157"/>
      <c r="O95" s="157"/>
      <c r="P95" s="157"/>
      <c r="Q95" s="157"/>
      <c r="R95" s="157"/>
    </row>
    <row r="96" spans="6:18">
      <c r="F96" s="157"/>
      <c r="G96" s="157"/>
      <c r="H96" s="157"/>
      <c r="I96" s="157"/>
      <c r="J96" s="157"/>
      <c r="K96" s="157"/>
      <c r="L96" s="157"/>
      <c r="M96" s="157"/>
      <c r="N96" s="157"/>
      <c r="O96" s="157"/>
      <c r="P96" s="157"/>
      <c r="Q96" s="157"/>
      <c r="R96" s="157"/>
    </row>
    <row r="97" spans="6:18">
      <c r="F97" s="157"/>
      <c r="G97" s="157"/>
      <c r="H97" s="157"/>
      <c r="I97" s="157"/>
      <c r="J97" s="157"/>
      <c r="K97" s="157"/>
      <c r="L97" s="157"/>
      <c r="M97" s="157"/>
      <c r="N97" s="157"/>
      <c r="O97" s="157"/>
      <c r="P97" s="157"/>
      <c r="Q97" s="157"/>
      <c r="R97" s="157"/>
    </row>
    <row r="98" spans="6:18">
      <c r="F98" s="157"/>
      <c r="G98" s="157"/>
      <c r="H98" s="157"/>
      <c r="I98" s="157"/>
      <c r="J98" s="157"/>
      <c r="K98" s="157"/>
      <c r="L98" s="157"/>
      <c r="M98" s="157"/>
      <c r="N98" s="157"/>
      <c r="O98" s="157"/>
      <c r="P98" s="157"/>
      <c r="Q98" s="157"/>
      <c r="R98" s="157"/>
    </row>
    <row r="99" spans="6:18">
      <c r="F99" s="157"/>
      <c r="G99" s="157"/>
      <c r="H99" s="157"/>
      <c r="I99" s="157"/>
      <c r="J99" s="157"/>
      <c r="K99" s="157"/>
      <c r="L99" s="157"/>
      <c r="M99" s="157"/>
      <c r="N99" s="157"/>
      <c r="O99" s="157"/>
      <c r="P99" s="157"/>
      <c r="Q99" s="157"/>
      <c r="R99" s="157"/>
    </row>
    <row r="100" spans="6:18">
      <c r="F100" s="157"/>
      <c r="G100" s="157"/>
      <c r="H100" s="157"/>
      <c r="I100" s="157"/>
      <c r="J100" s="157"/>
      <c r="K100" s="157"/>
      <c r="L100" s="157"/>
      <c r="M100" s="157"/>
      <c r="N100" s="157"/>
      <c r="O100" s="157"/>
      <c r="P100" s="157"/>
      <c r="Q100" s="157"/>
      <c r="R100" s="157"/>
    </row>
    <row r="101" spans="6:18">
      <c r="F101" s="157"/>
      <c r="G101" s="157"/>
      <c r="H101" s="157"/>
      <c r="I101" s="157"/>
      <c r="J101" s="157"/>
      <c r="K101" s="157"/>
      <c r="L101" s="157"/>
      <c r="M101" s="157"/>
      <c r="N101" s="157"/>
      <c r="O101" s="157"/>
      <c r="P101" s="157"/>
      <c r="Q101" s="157"/>
      <c r="R101" s="157"/>
    </row>
    <row r="102" spans="6:18">
      <c r="F102" s="157"/>
      <c r="G102" s="157"/>
      <c r="H102" s="157"/>
      <c r="I102" s="157"/>
      <c r="J102" s="157"/>
      <c r="K102" s="157"/>
      <c r="L102" s="157"/>
      <c r="M102" s="157"/>
      <c r="N102" s="157"/>
      <c r="O102" s="157"/>
      <c r="P102" s="157"/>
      <c r="Q102" s="157"/>
      <c r="R102" s="157"/>
    </row>
    <row r="103" spans="6:18">
      <c r="F103" s="157"/>
      <c r="G103" s="157"/>
      <c r="H103" s="157"/>
      <c r="I103" s="157"/>
      <c r="J103" s="157"/>
      <c r="K103" s="157"/>
      <c r="L103" s="157"/>
      <c r="M103" s="157"/>
      <c r="N103" s="157"/>
      <c r="O103" s="157"/>
      <c r="P103" s="157"/>
      <c r="Q103" s="157"/>
      <c r="R103" s="157"/>
    </row>
    <row r="104" spans="6:18">
      <c r="F104" s="157"/>
      <c r="G104" s="157"/>
      <c r="H104" s="157"/>
      <c r="I104" s="157"/>
      <c r="J104" s="157"/>
      <c r="K104" s="157"/>
      <c r="L104" s="157"/>
      <c r="M104" s="157"/>
      <c r="N104" s="157"/>
      <c r="O104" s="157"/>
      <c r="P104" s="157"/>
      <c r="Q104" s="157"/>
      <c r="R104" s="157"/>
    </row>
  </sheetData>
  <mergeCells count="5">
    <mergeCell ref="P5:R6"/>
    <mergeCell ref="E60:G60"/>
    <mergeCell ref="J60:M60"/>
    <mergeCell ref="O60:R60"/>
    <mergeCell ref="J59:N59"/>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 </vt:lpstr>
      <vt:lpstr>SPF-C02</vt:lpstr>
      <vt:lpstr>SPF-01</vt:lpstr>
      <vt:lpstr>'SPF-01'!Área_de_impresión</vt:lpstr>
      <vt:lpstr>'SPF-A01'!Área_de_impresión</vt:lpstr>
      <vt:lpstr>'SPF-A02'!Área_de_impresión</vt:lpstr>
      <vt:lpstr>'SPF-A03'!Área_de_impresión</vt:lpstr>
      <vt:lpstr>'SPF-C01 '!Área_de_impresión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2016-07-08T17:51:29Z</cp:lastPrinted>
  <dcterms:created xsi:type="dcterms:W3CDTF">2008-01-08T17:09:26Z</dcterms:created>
  <dcterms:modified xsi:type="dcterms:W3CDTF">2017-01-24T23:46:31Z</dcterms:modified>
</cp:coreProperties>
</file>