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20" windowWidth="15480" windowHeight="11580" tabRatio="915"/>
  </bookViews>
  <sheets>
    <sheet name="SPF-A01" sheetId="3" r:id="rId1"/>
    <sheet name="SPF-A02" sheetId="5" r:id="rId2"/>
    <sheet name="SPF-A03" sheetId="14" r:id="rId3"/>
    <sheet name="SPF-C01" sheetId="7" r:id="rId4"/>
    <sheet name="SPF-C02" sheetId="23" r:id="rId5"/>
    <sheet name="SPF-01" sheetId="24" r:id="rId6"/>
  </sheets>
  <definedNames>
    <definedName name="_xlnm._FilterDatabase" localSheetId="0" hidden="1">'SPF-A01'!$H$3:$H$4</definedName>
    <definedName name="_xlnm._FilterDatabase" localSheetId="3" hidden="1">'SPF-C01'!$R$12:$S$12</definedName>
    <definedName name="_xlnm._FilterDatabase" localSheetId="4" hidden="1">'SPF-C02'!$R$12:$S$12</definedName>
    <definedName name="_xlnm.Print_Area" localSheetId="5">'SPF-01'!$E$2:$R$59</definedName>
    <definedName name="_xlnm.Print_Area" localSheetId="0">'SPF-A01'!$H$3:$V$68</definedName>
    <definedName name="_xlnm.Print_Area" localSheetId="1">'SPF-A02'!$B$1:$N$21</definedName>
    <definedName name="_xlnm.Print_Area" localSheetId="2">'SPF-A03'!$B$1:$I$63</definedName>
    <definedName name="_xlnm.Print_Area" localSheetId="3">'SPF-C01'!$E$3:$R$64</definedName>
    <definedName name="_xlnm.Print_Area" localSheetId="4">'SPF-C02'!$E$3:$R$65</definedName>
    <definedName name="_xlnm.Print_Titles" localSheetId="2">'SPF-A03'!$4:$13</definedName>
  </definedNames>
  <calcPr calcId="145621"/>
</workbook>
</file>

<file path=xl/calcChain.xml><?xml version="1.0" encoding="utf-8"?>
<calcChain xmlns="http://schemas.openxmlformats.org/spreadsheetml/2006/main">
  <c r="K22" i="14" l="1"/>
  <c r="J21" i="14"/>
  <c r="J19" i="14"/>
  <c r="V32" i="3" l="1"/>
  <c r="U32" i="3"/>
  <c r="T32" i="3"/>
  <c r="V29" i="3"/>
  <c r="U29" i="3"/>
  <c r="T29" i="3"/>
  <c r="V26" i="3"/>
  <c r="V25" i="3"/>
  <c r="V24" i="3"/>
  <c r="U24" i="3"/>
  <c r="U25" i="3"/>
  <c r="U26" i="3"/>
  <c r="T26" i="3"/>
  <c r="T25" i="3"/>
  <c r="T24" i="3"/>
  <c r="U45" i="3"/>
  <c r="V45" i="3"/>
  <c r="T45" i="3"/>
  <c r="S45" i="3"/>
  <c r="S40" i="3"/>
  <c r="S32" i="3"/>
  <c r="S26" i="3"/>
  <c r="S25" i="3"/>
  <c r="S24" i="3"/>
  <c r="S23" i="3"/>
  <c r="Q31" i="3" l="1"/>
  <c r="P31" i="3"/>
  <c r="O31" i="3"/>
  <c r="L31" i="3"/>
  <c r="K31" i="3"/>
  <c r="R28" i="23"/>
  <c r="R27" i="23"/>
  <c r="R26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J25" i="14" l="1"/>
  <c r="K25" i="14" l="1"/>
  <c r="T44" i="3" l="1"/>
  <c r="U44" i="3"/>
  <c r="V44" i="3"/>
  <c r="Q44" i="3" l="1"/>
  <c r="Q38" i="24" l="1"/>
  <c r="P38" i="24"/>
  <c r="O38" i="24"/>
  <c r="N38" i="24"/>
  <c r="M38" i="24"/>
  <c r="L38" i="24"/>
  <c r="K38" i="24"/>
  <c r="J38" i="24"/>
  <c r="I38" i="24"/>
  <c r="H38" i="24"/>
  <c r="G38" i="24"/>
  <c r="F38" i="24"/>
  <c r="S44" i="3" l="1"/>
  <c r="S43" i="3" s="1"/>
  <c r="O44" i="3"/>
  <c r="P44" i="3"/>
  <c r="N44" i="3"/>
  <c r="K44" i="3"/>
  <c r="L44" i="3"/>
  <c r="J44" i="3"/>
  <c r="R23" i="24" l="1"/>
  <c r="Q22" i="24"/>
  <c r="P22" i="24"/>
  <c r="O22" i="24"/>
  <c r="N22" i="24"/>
  <c r="M22" i="24"/>
  <c r="L22" i="24"/>
  <c r="K22" i="24"/>
  <c r="J22" i="24"/>
  <c r="I22" i="24"/>
  <c r="H22" i="24"/>
  <c r="G22" i="24"/>
  <c r="F22" i="24"/>
  <c r="R50" i="24"/>
  <c r="R49" i="24"/>
  <c r="Q48" i="24"/>
  <c r="P48" i="24"/>
  <c r="O48" i="24"/>
  <c r="O47" i="24" s="1"/>
  <c r="N48" i="24"/>
  <c r="M48" i="24"/>
  <c r="L48" i="24"/>
  <c r="L47" i="24" s="1"/>
  <c r="K48" i="24"/>
  <c r="K47" i="24" s="1"/>
  <c r="J48" i="24"/>
  <c r="I48" i="24"/>
  <c r="H48" i="24"/>
  <c r="H47" i="24" s="1"/>
  <c r="G48" i="24"/>
  <c r="G47" i="24" s="1"/>
  <c r="F48" i="24"/>
  <c r="Q47" i="24"/>
  <c r="P47" i="24"/>
  <c r="N47" i="24"/>
  <c r="M47" i="24"/>
  <c r="J47" i="24"/>
  <c r="I47" i="24"/>
  <c r="F47" i="24"/>
  <c r="Q44" i="24"/>
  <c r="P44" i="24"/>
  <c r="O44" i="24"/>
  <c r="N44" i="24"/>
  <c r="M44" i="24"/>
  <c r="L44" i="24"/>
  <c r="K44" i="24"/>
  <c r="J44" i="24"/>
  <c r="I44" i="24"/>
  <c r="H44" i="24"/>
  <c r="G44" i="24"/>
  <c r="F44" i="24"/>
  <c r="Q41" i="24"/>
  <c r="Q37" i="24" s="1"/>
  <c r="P41" i="24"/>
  <c r="P37" i="24" s="1"/>
  <c r="O41" i="24"/>
  <c r="N41" i="24"/>
  <c r="M41" i="24"/>
  <c r="M37" i="24" s="1"/>
  <c r="L41" i="24"/>
  <c r="L37" i="24" s="1"/>
  <c r="K41" i="24"/>
  <c r="J41" i="24"/>
  <c r="I41" i="24"/>
  <c r="I37" i="24" s="1"/>
  <c r="H41" i="24"/>
  <c r="H37" i="24" s="1"/>
  <c r="G41" i="24"/>
  <c r="F41" i="24"/>
  <c r="R39" i="24"/>
  <c r="R38" i="24"/>
  <c r="O37" i="24"/>
  <c r="N37" i="24"/>
  <c r="K37" i="24"/>
  <c r="J37" i="24"/>
  <c r="G37" i="24"/>
  <c r="F37" i="24"/>
  <c r="R34" i="24"/>
  <c r="Q33" i="24"/>
  <c r="P33" i="24"/>
  <c r="P25" i="24" s="1"/>
  <c r="O33" i="24"/>
  <c r="O25" i="24" s="1"/>
  <c r="N33" i="24"/>
  <c r="N25" i="24" s="1"/>
  <c r="M33" i="24"/>
  <c r="M25" i="24" s="1"/>
  <c r="L33" i="24"/>
  <c r="L25" i="24" s="1"/>
  <c r="K33" i="24"/>
  <c r="K25" i="24" s="1"/>
  <c r="J33" i="24"/>
  <c r="I33" i="24"/>
  <c r="I25" i="24" s="1"/>
  <c r="H33" i="24"/>
  <c r="H25" i="24" s="1"/>
  <c r="G33" i="24"/>
  <c r="F33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R26" i="24"/>
  <c r="Q25" i="24"/>
  <c r="J25" i="24"/>
  <c r="G25" i="24"/>
  <c r="F25" i="24"/>
  <c r="R20" i="24"/>
  <c r="R19" i="24"/>
  <c r="R18" i="24"/>
  <c r="Q17" i="24"/>
  <c r="P17" i="24"/>
  <c r="O17" i="24"/>
  <c r="N17" i="24"/>
  <c r="M17" i="24"/>
  <c r="L17" i="24"/>
  <c r="K17" i="24"/>
  <c r="J17" i="24"/>
  <c r="I17" i="24"/>
  <c r="H17" i="24"/>
  <c r="G17" i="24"/>
  <c r="F17" i="24"/>
  <c r="R24" i="7"/>
  <c r="R23" i="7"/>
  <c r="R18" i="7"/>
  <c r="G23" i="7"/>
  <c r="H23" i="7"/>
  <c r="I23" i="7"/>
  <c r="J23" i="7"/>
  <c r="K23" i="7"/>
  <c r="L23" i="7"/>
  <c r="M23" i="7"/>
  <c r="N23" i="7"/>
  <c r="O23" i="7"/>
  <c r="P23" i="7"/>
  <c r="Q23" i="7"/>
  <c r="F23" i="7"/>
  <c r="R22" i="24" l="1"/>
  <c r="M13" i="24"/>
  <c r="I13" i="24"/>
  <c r="I12" i="24" s="1"/>
  <c r="I11" i="24" s="1"/>
  <c r="F13" i="24"/>
  <c r="F12" i="24" s="1"/>
  <c r="J13" i="24"/>
  <c r="J12" i="24" s="1"/>
  <c r="J11" i="24" s="1"/>
  <c r="N13" i="24"/>
  <c r="N12" i="24" s="1"/>
  <c r="N11" i="24" s="1"/>
  <c r="G13" i="24"/>
  <c r="G12" i="24" s="1"/>
  <c r="G11" i="24" s="1"/>
  <c r="K13" i="24"/>
  <c r="K12" i="24" s="1"/>
  <c r="K11" i="24" s="1"/>
  <c r="O13" i="24"/>
  <c r="O12" i="24" s="1"/>
  <c r="O11" i="24" s="1"/>
  <c r="M12" i="24"/>
  <c r="M11" i="24" s="1"/>
  <c r="R37" i="24"/>
  <c r="L13" i="24"/>
  <c r="L12" i="24" s="1"/>
  <c r="L11" i="24" s="1"/>
  <c r="R17" i="24"/>
  <c r="R41" i="24"/>
  <c r="R44" i="24"/>
  <c r="H13" i="24"/>
  <c r="H12" i="24" s="1"/>
  <c r="H11" i="24" s="1"/>
  <c r="P13" i="24"/>
  <c r="P12" i="24" s="1"/>
  <c r="P11" i="24" s="1"/>
  <c r="R25" i="24"/>
  <c r="Q13" i="24"/>
  <c r="Q12" i="24" s="1"/>
  <c r="Q11" i="24" s="1"/>
  <c r="R29" i="24"/>
  <c r="R33" i="24"/>
  <c r="R48" i="24"/>
  <c r="R47" i="24"/>
  <c r="V28" i="3"/>
  <c r="U28" i="3"/>
  <c r="T28" i="3"/>
  <c r="S28" i="3"/>
  <c r="Q28" i="3"/>
  <c r="P28" i="3"/>
  <c r="O28" i="3"/>
  <c r="N28" i="3"/>
  <c r="L28" i="3"/>
  <c r="K28" i="3"/>
  <c r="J28" i="3"/>
  <c r="R13" i="24" l="1"/>
  <c r="R12" i="24"/>
  <c r="F11" i="24"/>
  <c r="R11" i="24" s="1"/>
  <c r="R49" i="23"/>
  <c r="R48" i="23"/>
  <c r="Q47" i="23"/>
  <c r="P47" i="23"/>
  <c r="P46" i="23" s="1"/>
  <c r="O47" i="23"/>
  <c r="N47" i="23"/>
  <c r="N46" i="23" s="1"/>
  <c r="M47" i="23"/>
  <c r="L47" i="23"/>
  <c r="L46" i="23" s="1"/>
  <c r="K47" i="23"/>
  <c r="J47" i="23"/>
  <c r="J46" i="23" s="1"/>
  <c r="I47" i="23"/>
  <c r="H47" i="23"/>
  <c r="H46" i="23" s="1"/>
  <c r="G47" i="23"/>
  <c r="F47" i="23"/>
  <c r="R47" i="23" s="1"/>
  <c r="R46" i="23" s="1"/>
  <c r="Q46" i="23"/>
  <c r="O46" i="23"/>
  <c r="M46" i="23"/>
  <c r="K46" i="23"/>
  <c r="I46" i="23"/>
  <c r="G46" i="23"/>
  <c r="R45" i="23"/>
  <c r="R44" i="23"/>
  <c r="Q43" i="23"/>
  <c r="P43" i="23"/>
  <c r="O43" i="23"/>
  <c r="N43" i="23"/>
  <c r="M43" i="23"/>
  <c r="L43" i="23"/>
  <c r="K43" i="23"/>
  <c r="J43" i="23"/>
  <c r="I43" i="23"/>
  <c r="H43" i="23"/>
  <c r="G43" i="23"/>
  <c r="F43" i="23"/>
  <c r="R43" i="23" s="1"/>
  <c r="R42" i="23"/>
  <c r="R41" i="23"/>
  <c r="Q40" i="23"/>
  <c r="P40" i="23"/>
  <c r="O40" i="23"/>
  <c r="N40" i="23"/>
  <c r="M40" i="23"/>
  <c r="L40" i="23"/>
  <c r="K40" i="23"/>
  <c r="J40" i="23"/>
  <c r="I40" i="23"/>
  <c r="H40" i="23"/>
  <c r="G40" i="23"/>
  <c r="F40" i="23"/>
  <c r="R40" i="23" s="1"/>
  <c r="R39" i="23"/>
  <c r="R38" i="23"/>
  <c r="Q37" i="23"/>
  <c r="P37" i="23"/>
  <c r="P36" i="23" s="1"/>
  <c r="O37" i="23"/>
  <c r="N37" i="23"/>
  <c r="N36" i="23" s="1"/>
  <c r="M37" i="23"/>
  <c r="L37" i="23"/>
  <c r="L36" i="23" s="1"/>
  <c r="K37" i="23"/>
  <c r="J37" i="23"/>
  <c r="J36" i="23" s="1"/>
  <c r="I37" i="23"/>
  <c r="H37" i="23"/>
  <c r="H36" i="23" s="1"/>
  <c r="G37" i="23"/>
  <c r="F37" i="23"/>
  <c r="F36" i="23" s="1"/>
  <c r="Q36" i="23"/>
  <c r="O36" i="23"/>
  <c r="M36" i="23"/>
  <c r="K36" i="23"/>
  <c r="I36" i="23"/>
  <c r="G36" i="23"/>
  <c r="R35" i="23"/>
  <c r="R34" i="23"/>
  <c r="Q33" i="23"/>
  <c r="P33" i="23"/>
  <c r="P15" i="23" s="1"/>
  <c r="P14" i="23" s="1"/>
  <c r="P13" i="23" s="1"/>
  <c r="O33" i="23"/>
  <c r="N33" i="23"/>
  <c r="N15" i="23" s="1"/>
  <c r="N14" i="23" s="1"/>
  <c r="N13" i="23" s="1"/>
  <c r="M33" i="23"/>
  <c r="L33" i="23"/>
  <c r="L15" i="23" s="1"/>
  <c r="L14" i="23" s="1"/>
  <c r="L13" i="23" s="1"/>
  <c r="K33" i="23"/>
  <c r="J33" i="23"/>
  <c r="J15" i="23" s="1"/>
  <c r="J14" i="23" s="1"/>
  <c r="J13" i="23" s="1"/>
  <c r="I33" i="23"/>
  <c r="H33" i="23"/>
  <c r="H15" i="23" s="1"/>
  <c r="H14" i="23" s="1"/>
  <c r="H13" i="23" s="1"/>
  <c r="G33" i="23"/>
  <c r="F33" i="23"/>
  <c r="F15" i="23" s="1"/>
  <c r="R32" i="23"/>
  <c r="R31" i="23"/>
  <c r="Q30" i="23"/>
  <c r="P30" i="23"/>
  <c r="O30" i="23"/>
  <c r="N30" i="23"/>
  <c r="M30" i="23"/>
  <c r="L30" i="23"/>
  <c r="K30" i="23"/>
  <c r="J30" i="23"/>
  <c r="I30" i="23"/>
  <c r="H30" i="23"/>
  <c r="G30" i="23"/>
  <c r="F30" i="23"/>
  <c r="R30" i="23" s="1"/>
  <c r="R23" i="23"/>
  <c r="R21" i="23"/>
  <c r="R20" i="23"/>
  <c r="R18" i="23" s="1"/>
  <c r="R19" i="23"/>
  <c r="Q18" i="23"/>
  <c r="P18" i="23"/>
  <c r="O18" i="23"/>
  <c r="N18" i="23"/>
  <c r="M18" i="23"/>
  <c r="L18" i="23"/>
  <c r="K18" i="23"/>
  <c r="J18" i="23"/>
  <c r="I18" i="23"/>
  <c r="H18" i="23"/>
  <c r="G18" i="23"/>
  <c r="F18" i="23"/>
  <c r="Q16" i="23"/>
  <c r="Q15" i="23" s="1"/>
  <c r="Q14" i="23" s="1"/>
  <c r="Q13" i="23" s="1"/>
  <c r="P16" i="23"/>
  <c r="O16" i="23"/>
  <c r="O15" i="23" s="1"/>
  <c r="O14" i="23" s="1"/>
  <c r="O13" i="23" s="1"/>
  <c r="N16" i="23"/>
  <c r="M16" i="23"/>
  <c r="M15" i="23" s="1"/>
  <c r="M14" i="23" s="1"/>
  <c r="M13" i="23" s="1"/>
  <c r="L16" i="23"/>
  <c r="K16" i="23"/>
  <c r="K15" i="23" s="1"/>
  <c r="K14" i="23" s="1"/>
  <c r="K13" i="23" s="1"/>
  <c r="J16" i="23"/>
  <c r="I16" i="23"/>
  <c r="I15" i="23" s="1"/>
  <c r="I14" i="23" s="1"/>
  <c r="I13" i="23" s="1"/>
  <c r="H16" i="23"/>
  <c r="G16" i="23"/>
  <c r="G15" i="23" s="1"/>
  <c r="G14" i="23" s="1"/>
  <c r="G13" i="23" s="1"/>
  <c r="F16" i="23"/>
  <c r="R16" i="23" s="1"/>
  <c r="F15" i="7"/>
  <c r="Q36" i="7"/>
  <c r="P36" i="7"/>
  <c r="O36" i="7"/>
  <c r="N36" i="7"/>
  <c r="M36" i="7"/>
  <c r="L36" i="7"/>
  <c r="K36" i="7"/>
  <c r="J36" i="7"/>
  <c r="I36" i="7"/>
  <c r="H36" i="7"/>
  <c r="G36" i="7"/>
  <c r="F36" i="7"/>
  <c r="Q35" i="7"/>
  <c r="P35" i="7"/>
  <c r="O35" i="7"/>
  <c r="N35" i="7"/>
  <c r="M35" i="7"/>
  <c r="L35" i="7"/>
  <c r="K35" i="7"/>
  <c r="J35" i="7"/>
  <c r="I35" i="7"/>
  <c r="H35" i="7"/>
  <c r="G35" i="7"/>
  <c r="F35" i="7"/>
  <c r="F26" i="7"/>
  <c r="Q18" i="7"/>
  <c r="P18" i="7"/>
  <c r="O18" i="7"/>
  <c r="N18" i="7"/>
  <c r="M18" i="7"/>
  <c r="L18" i="7"/>
  <c r="K18" i="7"/>
  <c r="J18" i="7"/>
  <c r="I18" i="7"/>
  <c r="H18" i="7"/>
  <c r="G18" i="7"/>
  <c r="F18" i="7"/>
  <c r="F14" i="23" l="1"/>
  <c r="R15" i="23"/>
  <c r="R36" i="23"/>
  <c r="R33" i="23"/>
  <c r="R37" i="23"/>
  <c r="F46" i="23"/>
  <c r="R14" i="23" l="1"/>
  <c r="F13" i="23"/>
  <c r="R13" i="23" s="1"/>
  <c r="G22" i="14" l="1"/>
  <c r="G21" i="14"/>
  <c r="G20" i="14"/>
  <c r="G19" i="14"/>
  <c r="V54" i="3"/>
  <c r="V53" i="3"/>
  <c r="V50" i="3"/>
  <c r="V43" i="3"/>
  <c r="V39" i="3"/>
  <c r="V31" i="3" s="1"/>
  <c r="V22" i="3"/>
  <c r="U54" i="3"/>
  <c r="U53" i="3" s="1"/>
  <c r="T54" i="3"/>
  <c r="T53" i="3"/>
  <c r="U50" i="3"/>
  <c r="T50" i="3"/>
  <c r="U43" i="3"/>
  <c r="T43" i="3"/>
  <c r="U39" i="3"/>
  <c r="T39" i="3"/>
  <c r="T31" i="3" s="1"/>
  <c r="U22" i="3"/>
  <c r="T22" i="3"/>
  <c r="S54" i="3"/>
  <c r="S53" i="3" s="1"/>
  <c r="S50" i="3"/>
  <c r="S39" i="3"/>
  <c r="S31" i="3" s="1"/>
  <c r="S22" i="3"/>
  <c r="K22" i="3"/>
  <c r="U31" i="3" l="1"/>
  <c r="U19" i="3" s="1"/>
  <c r="U17" i="3" s="1"/>
  <c r="U15" i="3" s="1"/>
  <c r="V19" i="3"/>
  <c r="V17" i="3" s="1"/>
  <c r="V15" i="3" s="1"/>
  <c r="S11" i="24" s="1"/>
  <c r="S19" i="3"/>
  <c r="S17" i="3" s="1"/>
  <c r="S15" i="3" s="1"/>
  <c r="G30" i="14" l="1"/>
  <c r="G29" i="14"/>
  <c r="G28" i="14"/>
  <c r="G27" i="14"/>
  <c r="G34" i="14"/>
  <c r="G33" i="14"/>
  <c r="G32" i="14"/>
  <c r="G31" i="14"/>
  <c r="G26" i="14"/>
  <c r="G25" i="14"/>
  <c r="G24" i="14"/>
  <c r="G23" i="14"/>
  <c r="G18" i="14"/>
  <c r="G17" i="14"/>
  <c r="G16" i="14"/>
  <c r="G15" i="14"/>
  <c r="G35" i="14" l="1"/>
  <c r="G36" i="14"/>
  <c r="G37" i="14"/>
  <c r="G38" i="14"/>
  <c r="J22" i="3"/>
  <c r="J19" i="3" s="1"/>
  <c r="O22" i="3" l="1"/>
  <c r="R48" i="7" l="1"/>
  <c r="R47" i="7"/>
  <c r="Q46" i="7"/>
  <c r="Q45" i="7" s="1"/>
  <c r="P46" i="7"/>
  <c r="O46" i="7"/>
  <c r="O45" i="7" s="1"/>
  <c r="N46" i="7"/>
  <c r="M46" i="7"/>
  <c r="M45" i="7" s="1"/>
  <c r="L46" i="7"/>
  <c r="K46" i="7"/>
  <c r="K45" i="7" s="1"/>
  <c r="J46" i="7"/>
  <c r="I46" i="7"/>
  <c r="I45" i="7" s="1"/>
  <c r="H46" i="7"/>
  <c r="G46" i="7"/>
  <c r="G45" i="7" s="1"/>
  <c r="F46" i="7"/>
  <c r="R46" i="7" s="1"/>
  <c r="R45" i="7" s="1"/>
  <c r="P45" i="7"/>
  <c r="N45" i="7"/>
  <c r="L45" i="7"/>
  <c r="J45" i="7"/>
  <c r="H45" i="7"/>
  <c r="F45" i="7"/>
  <c r="R44" i="7"/>
  <c r="R43" i="7"/>
  <c r="Q42" i="7"/>
  <c r="P42" i="7"/>
  <c r="O42" i="7"/>
  <c r="N42" i="7"/>
  <c r="M42" i="7"/>
  <c r="L42" i="7"/>
  <c r="K42" i="7"/>
  <c r="J42" i="7"/>
  <c r="I42" i="7"/>
  <c r="H42" i="7"/>
  <c r="G42" i="7"/>
  <c r="F42" i="7"/>
  <c r="R42" i="7" s="1"/>
  <c r="R41" i="7"/>
  <c r="R40" i="7"/>
  <c r="Q39" i="7"/>
  <c r="P39" i="7"/>
  <c r="O39" i="7"/>
  <c r="N39" i="7"/>
  <c r="M39" i="7"/>
  <c r="L39" i="7"/>
  <c r="K39" i="7"/>
  <c r="J39" i="7"/>
  <c r="I39" i="7"/>
  <c r="H39" i="7"/>
  <c r="G39" i="7"/>
  <c r="F39" i="7"/>
  <c r="R39" i="7" s="1"/>
  <c r="R38" i="7"/>
  <c r="R37" i="7"/>
  <c r="R34" i="7"/>
  <c r="R33" i="7"/>
  <c r="Q32" i="7"/>
  <c r="Q26" i="7" s="1"/>
  <c r="P32" i="7"/>
  <c r="P26" i="7" s="1"/>
  <c r="O32" i="7"/>
  <c r="O26" i="7" s="1"/>
  <c r="N32" i="7"/>
  <c r="N26" i="7" s="1"/>
  <c r="M32" i="7"/>
  <c r="M26" i="7" s="1"/>
  <c r="L32" i="7"/>
  <c r="L26" i="7" s="1"/>
  <c r="K32" i="7"/>
  <c r="K26" i="7" s="1"/>
  <c r="J32" i="7"/>
  <c r="J26" i="7" s="1"/>
  <c r="I32" i="7"/>
  <c r="I26" i="7" s="1"/>
  <c r="H32" i="7"/>
  <c r="H26" i="7" s="1"/>
  <c r="G32" i="7"/>
  <c r="G26" i="7" s="1"/>
  <c r="F32" i="7"/>
  <c r="R31" i="7"/>
  <c r="R30" i="7"/>
  <c r="Q29" i="7"/>
  <c r="P29" i="7"/>
  <c r="O29" i="7"/>
  <c r="N29" i="7"/>
  <c r="M29" i="7"/>
  <c r="L29" i="7"/>
  <c r="K29" i="7"/>
  <c r="J29" i="7"/>
  <c r="I29" i="7"/>
  <c r="H29" i="7"/>
  <c r="G29" i="7"/>
  <c r="F29" i="7"/>
  <c r="R29" i="7" s="1"/>
  <c r="R27" i="7"/>
  <c r="R21" i="7"/>
  <c r="R20" i="7"/>
  <c r="R19" i="7"/>
  <c r="Q16" i="7"/>
  <c r="P16" i="7"/>
  <c r="O16" i="7"/>
  <c r="N16" i="7"/>
  <c r="M16" i="7"/>
  <c r="L16" i="7"/>
  <c r="K16" i="7"/>
  <c r="J16" i="7"/>
  <c r="I16" i="7"/>
  <c r="H16" i="7"/>
  <c r="G16" i="7"/>
  <c r="F16" i="7"/>
  <c r="R16" i="7" s="1"/>
  <c r="K20" i="3" s="1"/>
  <c r="K19" i="3" s="1"/>
  <c r="G51" i="14"/>
  <c r="G50" i="14"/>
  <c r="G49" i="14"/>
  <c r="G48" i="14"/>
  <c r="G47" i="14"/>
  <c r="G46" i="14"/>
  <c r="G45" i="14"/>
  <c r="G44" i="14"/>
  <c r="L14" i="5"/>
  <c r="K14" i="5" s="1"/>
  <c r="G14" i="5"/>
  <c r="F14" i="5"/>
  <c r="Q54" i="3"/>
  <c r="P54" i="3"/>
  <c r="P53" i="3" s="1"/>
  <c r="O54" i="3"/>
  <c r="O53" i="3" s="1"/>
  <c r="N54" i="3"/>
  <c r="L54" i="3"/>
  <c r="K54" i="3"/>
  <c r="K53" i="3" s="1"/>
  <c r="J54" i="3"/>
  <c r="J53" i="3" s="1"/>
  <c r="Q53" i="3"/>
  <c r="N53" i="3"/>
  <c r="L53" i="3"/>
  <c r="Q50" i="3"/>
  <c r="P50" i="3"/>
  <c r="O50" i="3"/>
  <c r="N50" i="3"/>
  <c r="L50" i="3"/>
  <c r="K50" i="3"/>
  <c r="J50" i="3"/>
  <c r="Q43" i="3"/>
  <c r="P43" i="3"/>
  <c r="O43" i="3"/>
  <c r="N43" i="3"/>
  <c r="L43" i="3"/>
  <c r="K43" i="3"/>
  <c r="J43" i="3"/>
  <c r="Q39" i="3"/>
  <c r="P39" i="3"/>
  <c r="O39" i="3"/>
  <c r="N39" i="3"/>
  <c r="N31" i="3" s="1"/>
  <c r="L39" i="3"/>
  <c r="K39" i="3"/>
  <c r="J39" i="3"/>
  <c r="J31" i="3" s="1"/>
  <c r="Q22" i="3"/>
  <c r="P22" i="3"/>
  <c r="N22" i="3"/>
  <c r="L22" i="3"/>
  <c r="O20" i="3" a="1"/>
  <c r="O20" i="3" s="1"/>
  <c r="L20" i="3"/>
  <c r="R19" i="3"/>
  <c r="R17" i="3"/>
  <c r="M17" i="3"/>
  <c r="K17" i="3" l="1"/>
  <c r="K15" i="3" s="1"/>
  <c r="P19" i="3"/>
  <c r="P17" i="3" s="1"/>
  <c r="P15" i="3" s="1"/>
  <c r="N15" i="7"/>
  <c r="N14" i="7" s="1"/>
  <c r="N13" i="7" s="1"/>
  <c r="G15" i="7"/>
  <c r="K15" i="7"/>
  <c r="K14" i="7" s="1"/>
  <c r="K13" i="7" s="1"/>
  <c r="O15" i="7"/>
  <c r="O14" i="7" s="1"/>
  <c r="O13" i="7" s="1"/>
  <c r="R36" i="7"/>
  <c r="R32" i="7"/>
  <c r="R26" i="7" s="1"/>
  <c r="T20" i="3" a="1"/>
  <c r="T20" i="3" s="1"/>
  <c r="T19" i="3" s="1"/>
  <c r="T17" i="3" s="1"/>
  <c r="T15" i="3" s="1"/>
  <c r="F14" i="7"/>
  <c r="F13" i="7" s="1"/>
  <c r="Q15" i="7"/>
  <c r="Q14" i="7" s="1"/>
  <c r="Q13" i="7" s="1"/>
  <c r="M15" i="7"/>
  <c r="M14" i="7" s="1"/>
  <c r="M13" i="7" s="1"/>
  <c r="I15" i="7"/>
  <c r="I14" i="7" s="1"/>
  <c r="I13" i="7" s="1"/>
  <c r="J15" i="7"/>
  <c r="J14" i="7" s="1"/>
  <c r="J13" i="7" s="1"/>
  <c r="J17" i="3"/>
  <c r="J15" i="3" s="1"/>
  <c r="L19" i="3"/>
  <c r="L17" i="3" s="1"/>
  <c r="L15" i="3" s="1"/>
  <c r="M14" i="5"/>
  <c r="N14" i="5"/>
  <c r="R35" i="7"/>
  <c r="G14" i="7"/>
  <c r="G13" i="7" s="1"/>
  <c r="H15" i="7"/>
  <c r="H14" i="7" s="1"/>
  <c r="H13" i="7" s="1"/>
  <c r="L15" i="7"/>
  <c r="L14" i="7" s="1"/>
  <c r="L13" i="7" s="1"/>
  <c r="P15" i="7"/>
  <c r="P14" i="7" s="1"/>
  <c r="P13" i="7" s="1"/>
  <c r="I14" i="5"/>
  <c r="Q19" i="3"/>
  <c r="Q17" i="3" s="1"/>
  <c r="Q15" i="3" s="1"/>
  <c r="O19" i="3"/>
  <c r="O17" i="3" s="1"/>
  <c r="O15" i="3" s="1"/>
  <c r="N19" i="3"/>
  <c r="N17" i="3" s="1"/>
  <c r="N15" i="3" s="1"/>
  <c r="R13" i="7" l="1"/>
  <c r="R14" i="7"/>
  <c r="R15" i="7"/>
</calcChain>
</file>

<file path=xl/sharedStrings.xml><?xml version="1.0" encoding="utf-8"?>
<sst xmlns="http://schemas.openxmlformats.org/spreadsheetml/2006/main" count="354" uniqueCount="149">
  <si>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</si>
  <si>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</si>
  <si>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</si>
  <si>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</si>
  <si>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</si>
  <si>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</si>
  <si>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</si>
  <si>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</si>
  <si>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</si>
  <si>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</si>
  <si>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</si>
  <si>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</si>
  <si>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Ene-dic</t>
  </si>
  <si>
    <t>INGRESOS PROPIOS</t>
  </si>
  <si>
    <t>Venta de Bienes</t>
  </si>
  <si>
    <t>Venta de Servicios</t>
  </si>
  <si>
    <t>Venta de Inversiones</t>
  </si>
  <si>
    <t>Ingresos Diversos</t>
  </si>
  <si>
    <t xml:space="preserve">Corrientes </t>
  </si>
  <si>
    <t>Operación</t>
  </si>
  <si>
    <t>Intereses de la deuda</t>
  </si>
  <si>
    <t>Capital</t>
  </si>
  <si>
    <t>Amortización deuda</t>
  </si>
  <si>
    <t>FINANCIAMIENTO NETO</t>
  </si>
  <si>
    <t>Colocación</t>
  </si>
  <si>
    <t>Amortización</t>
  </si>
  <si>
    <t>Operaciones Ajenas ( Netas )</t>
  </si>
  <si>
    <t>PROGRAMA VS RECAUDACIÓN</t>
  </si>
  <si>
    <t>(PESOS)</t>
  </si>
  <si>
    <t>CONCEPTO</t>
  </si>
  <si>
    <t>Operaciones Ajenas (netas)</t>
  </si>
  <si>
    <t xml:space="preserve">Por cuenta de terceros </t>
  </si>
  <si>
    <t xml:space="preserve">Por erogaciones recuperables </t>
  </si>
  <si>
    <t>Corrientes</t>
  </si>
  <si>
    <t xml:space="preserve">Colocación </t>
  </si>
  <si>
    <t>Variación Ingreso Real vs. Suma del Gasto</t>
  </si>
  <si>
    <t>Variación</t>
  </si>
  <si>
    <t>Gasto Corriente</t>
  </si>
  <si>
    <t>%</t>
  </si>
  <si>
    <t>Suma del Gasto</t>
  </si>
  <si>
    <t>$</t>
  </si>
  <si>
    <t>APORTACIONES</t>
  </si>
  <si>
    <t>TRANSFERENCIAS</t>
  </si>
  <si>
    <t>NOTA: El formato es indicativo no limitativo, por lo que en caso de requerir más espacios, las entidades deberán elaborarlo en la misma presentación y con las mismas características.</t>
  </si>
  <si>
    <t xml:space="preserve">         En caso de no contemplar todos los rubros señalados se pueden eliminar renglones sobrantes o inutilizados.</t>
  </si>
  <si>
    <t xml:space="preserve">Programado al mes </t>
  </si>
  <si>
    <t>Ingreso Real</t>
  </si>
  <si>
    <t>Gasto de Capital</t>
  </si>
  <si>
    <t>VS.</t>
  </si>
  <si>
    <t>ABSOLUTA</t>
  </si>
  <si>
    <t>Programa</t>
  </si>
  <si>
    <t>NOTA: El formato es indicativo no limitativo, por lo que en caso de requerir más espacios para el detalle, las entidades deberán elaborarlo en la misma presentación y con las mismas características.</t>
  </si>
  <si>
    <t>VENTA DE BIENES</t>
  </si>
  <si>
    <t>VENTA DE SERVICIOS</t>
  </si>
  <si>
    <t>CORRIENTES</t>
  </si>
  <si>
    <t>CAPITAL</t>
  </si>
  <si>
    <t>SPF-A01</t>
  </si>
  <si>
    <t>SPF-A02</t>
  </si>
  <si>
    <t>SPF-A03</t>
  </si>
  <si>
    <t>Entidad</t>
  </si>
  <si>
    <t>Remanente local</t>
  </si>
  <si>
    <t>Remanente Federal</t>
  </si>
  <si>
    <t>Amortización de la deuda</t>
  </si>
  <si>
    <t>REL. NOM. %</t>
  </si>
  <si>
    <t>SPF-C01</t>
  </si>
  <si>
    <t>SPF-01</t>
  </si>
  <si>
    <t>Remanente de ejercicios anteriores</t>
  </si>
  <si>
    <t xml:space="preserve">     Remanente local</t>
  </si>
  <si>
    <t xml:space="preserve">     Remanente Federal</t>
  </si>
  <si>
    <t>OBTENIDO 2012</t>
  </si>
  <si>
    <t>PROG. ORIGINAL</t>
  </si>
  <si>
    <t>EXPLICACIÓN A LAS VARIACIONES</t>
  </si>
  <si>
    <t>ORGANISMO Ó EMPRESA:</t>
  </si>
  <si>
    <t>Programa vs Recaudación</t>
  </si>
  <si>
    <t>(Pesos)</t>
  </si>
  <si>
    <t>Gobierno del Distrito Federal</t>
  </si>
  <si>
    <t>Mensual</t>
  </si>
  <si>
    <t>Pesos</t>
  </si>
  <si>
    <t>Anual</t>
  </si>
  <si>
    <t>Acumulado en el periodo</t>
  </si>
  <si>
    <t>Concepto</t>
  </si>
  <si>
    <t>Obtenido</t>
  </si>
  <si>
    <t>Programa Original</t>
  </si>
  <si>
    <t>Programa Modificado</t>
  </si>
  <si>
    <t>Programado</t>
  </si>
  <si>
    <t>Original</t>
  </si>
  <si>
    <t>Modificado</t>
  </si>
  <si>
    <t>Importe</t>
  </si>
  <si>
    <t>Total de Ingresos</t>
  </si>
  <si>
    <t>Ingresos Ordinarios</t>
  </si>
  <si>
    <t>Ingresos Propios</t>
  </si>
  <si>
    <t>Transferencias del Gobierno Federal</t>
  </si>
  <si>
    <t>Ingresos Extraordinarios</t>
  </si>
  <si>
    <t>Financiamiento Neto</t>
  </si>
  <si>
    <t>Remanente de Ejercicios Anteriores</t>
  </si>
  <si>
    <t>Aplicación de los Ingresos Propios</t>
  </si>
  <si>
    <t>Transferencias del Gobierno del Distrito Federal</t>
  </si>
  <si>
    <t>Total</t>
  </si>
  <si>
    <t>Autorizó: ___________________________________</t>
  </si>
  <si>
    <t>Observaciones:</t>
  </si>
  <si>
    <t>Por erogaciones recuperables</t>
  </si>
  <si>
    <t>Por cuenta de terceros</t>
  </si>
  <si>
    <t>Aportaciones del GDF</t>
  </si>
  <si>
    <t>OBTENIDO 2013</t>
  </si>
  <si>
    <t>Mes que se Reporta:</t>
  </si>
  <si>
    <t>Intereses Cobrados</t>
  </si>
  <si>
    <t>Comisiones Cobradas</t>
  </si>
  <si>
    <t>Cuotas de Cobranza</t>
  </si>
  <si>
    <t>Otros Ingresos</t>
  </si>
  <si>
    <t>Recuperación de Carteras Propias.</t>
  </si>
  <si>
    <t xml:space="preserve">Otros Ingresos </t>
  </si>
  <si>
    <t>Entidad: 09 PF RC FIDEICOMISO DE RECUPERACIÓN CREDITICIA DEL DISTRITO FEDERAL FIDERE III</t>
  </si>
  <si>
    <t>Entidad: 09PFRC FIDEICOMISO DE RECUPERACIÓN CREDITICIA DEL DISTRITO FEDERAL FIDERE III</t>
  </si>
  <si>
    <t>09PFRC FIDEICOMISO DE RECUPERACIÓN CREDITICIA DEL DISTRITO FEDERAL FIDERE III</t>
  </si>
  <si>
    <t>Nombre: C.P. CECILIA MENDOZA FRIAS</t>
  </si>
  <si>
    <t>Nombre: LIC. MARIA YSAURA MORENO ALAMINA</t>
  </si>
  <si>
    <t>Cargo: DIRECTORA GENERAL DEL FIDERE III</t>
  </si>
  <si>
    <t>Elaboró:</t>
  </si>
  <si>
    <t xml:space="preserve">Cargo: SUBGERENTE DE FINANZAS Y CONTROL 
</t>
  </si>
  <si>
    <t>Revisó : ____________________________________________________</t>
  </si>
  <si>
    <t>OBTENIDO 2014</t>
  </si>
  <si>
    <t>CIFRAS AL MES DE:</t>
  </si>
  <si>
    <t>Recaudado en el ejercicio anterior</t>
  </si>
  <si>
    <t>INGRESOS DIVERSOS</t>
  </si>
  <si>
    <t xml:space="preserve"> </t>
  </si>
  <si>
    <t>Informe Analítico de Ingresos Totales 2015</t>
  </si>
  <si>
    <t>Informe de Aplicación de los Ingresos Propios 2015</t>
  </si>
  <si>
    <t>CUADRO DE EXPLICACIÓN DE LAS VARIACIONES 2015</t>
  </si>
  <si>
    <t>VENTA DE INVERSIONES</t>
  </si>
  <si>
    <t>OBTENIDO 2015</t>
  </si>
  <si>
    <t>VARIACIÓN 2015</t>
  </si>
  <si>
    <t>Calendario Original de Ingresos Propios 2015</t>
  </si>
  <si>
    <t>Ingresos Obtenidos 2015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</si>
  <si>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</si>
  <si>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Nombre : LIC. ELISA LUGO IPIÑA
</t>
  </si>
  <si>
    <t xml:space="preserve">Calendario Modificado de Ingresos Propios 2015 </t>
  </si>
  <si>
    <t>Recuperación de Seguros por siniestro</t>
  </si>
  <si>
    <t>SPF-C02</t>
  </si>
  <si>
    <t>JUNIO</t>
  </si>
  <si>
    <t>Acumulado al mes de:JUNIO</t>
  </si>
  <si>
    <t>ACUMULADO AL MES DE: JUNIO</t>
  </si>
  <si>
    <t>Se obtuvieron ingresos en venta de servicios por $364,622.26 siendo superior en un 1.38% por una mayor recaudación a lo esperado en las carteras bancarias y gubernamentales   repercutiendo en las comisiones.</t>
  </si>
  <si>
    <t>Se obtuvieron menores ingresos por $224,524.19 siendo el 22.59%  en los intereses que dan las instituciones bancarias por la inversión sobre la recuperación de las carteras administradas, por la baja tasa de intereses y una menor captación de la recuperación de las carteras administradas.</t>
  </si>
  <si>
    <t>Se tiene una variación de   $959,203.02 que representa el 3.46% ,  por una captación menor de recursos en la recaudación a lo esperado en las carteras bancarias, y sociales principalmente en la cartera del Fondo para Desarrollo Social   (Mypes) y (Microcréditos) ,  así como por el abatimiento de la cartera administrada  por  los finiquitos de los créditos que realizan los acreditados en forma anticipada al vencimiento del plazo y la reclasificación de los intereses cobrados a Venta de Inversiones por $909,075.76.</t>
  </si>
  <si>
    <t>Este rubro se incluyo en el ejercicio 2015, derivado que los intereses se tenían considerado dentro de Venta de Servicios, obteniéndose un ingreso acumulado  de $909,075.76 en junio de 2014 , contra los recursos captados en el 2015 por $769,514.81, existe una diferencia menor por $139,560.95 que representa el 15.35%   por una disminución en la  recuperación de las carteras administradas.</t>
  </si>
  <si>
    <t xml:space="preserve">Se tiene una variación de $8,502,665.00 siendo superior en un 340.11% al año anterior por los recursos autorizados como apoyo a las finanzas del fideicomiso para cubrir sueldos y  para fortalecer el fondo colateral de garantía, siendo solamente la participación de este fideicomiso como el ente encargado de dar seguimiento e instrumentar el convenio de Colaboración para Apoyar a los Acreditados Finales del Programa FOVI DDF (Banamex Banorte), firmado el día 27 de noviembre de 2006, entre la Sociedad Hipotecaria Federal, S.N.C. y el Gobierno del Distrito Federal, con el objeto reducir el riesgo de afectación de la garantía otorgada por el entonces Departamento del Distrito Federal.  </t>
  </si>
  <si>
    <t>La diferencia de $107,347.62  que representa el 146.55%, es por una mayor recuperación de las carteras propias Renovación Habitación Popular( R.H.P)., Fondo de Desarrollo Económico Cartera Mypes Locales y Federales,  Fondo para la Consolidación de la Micro Empresa (Focomi Mypes) ,  Cartera FONDECO D.F. propiedad de FIDERE,  por las acciones de cobranza judicial, como recordatorios de pago, llamadas telefónicas, etc. y la incorporación de la recuperación de siniestros por $70,902.57</t>
  </si>
  <si>
    <t>La diferencia de $ 3,046,976.19 que representa el 94.40%, es por una menor recuperación de las carteras propias Renovación Habitación Popular( R.H.P)., Fondo de Desarrollo Económico Cartera Mypes Locales y Federales,  Fondo para la Consolidación de la Micro Empresa (Focomi Mypes) ,  Cartera FONDECO D.F. propiedad de FIDERE,  aun con  las acciones de cobranza judicial, como recordatorios de pago, llamadas telefónicas, etc., la no utilización de Remanentes presupuestales como apoyo al gasto y menos la incorporación de la recuperación de siniestros por $70,902.57</t>
  </si>
  <si>
    <t xml:space="preserve">           GERENTE  DE ADMINISTRACIÓN Y FINANZAS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</si>
</sst>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0"/>
    <numFmt numFmtId="165" formatCode="#,##0.0"/>
    <numFmt numFmtId="166" formatCode="#,##0.00;[Red]\(#,##0.00\)"/>
    <numFmt numFmtId="167" formatCode="#,##0.0_);[Red]\(#,##0.0\)"/>
    <numFmt numFmtId="168" formatCode="#,##0.00_);[Red]\(#,##0.00\)"/>
    <numFmt numFmtId="169" formatCode="_(* #,##0.00_);_(* \(#,##0.00\);_(* &quot;-&quot;??_);_(@_)"/>
  </numFmts>
  <fonts count="46">
    <font>
      <sz val="10"/>
      <name val="Arial"/>
    </font>
    <font>
      <sz val="10"/>
      <name val="Arial"/>
      <family val="2"/>
    </font>
    <font>
      <sz val="14"/>
      <name val="MS Sans Serif"/>
      <family val="2"/>
    </font>
    <font>
      <sz val="10"/>
      <name val="MS Sans Serif"/>
      <family val="2"/>
    </font>
    <font>
      <sz val="10"/>
      <name val="Times New Roman"/>
      <family val="1"/>
    </font>
    <font>
      <sz val="11"/>
      <name val="Arialf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0"/>
      <name val="Verdana"/>
      <family val="2"/>
    </font>
    <font>
      <sz val="18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6"/>
      <name val="Verdana"/>
      <family val="2"/>
    </font>
    <font>
      <sz val="7"/>
      <name val="Verdana"/>
      <family val="2"/>
    </font>
    <font>
      <sz val="9"/>
      <name val="Verdana"/>
      <family val="2"/>
    </font>
    <font>
      <sz val="8"/>
      <name val="Verdana"/>
      <family val="2"/>
    </font>
    <font>
      <b/>
      <sz val="9"/>
      <name val="Verdana"/>
      <family val="2"/>
    </font>
    <font>
      <b/>
      <sz val="20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b/>
      <sz val="17"/>
      <name val="Verdana"/>
      <family val="2"/>
    </font>
    <font>
      <sz val="14"/>
      <name val="Verdana"/>
      <family val="2"/>
    </font>
    <font>
      <sz val="9"/>
      <color theme="0" tint="-0.34998626667073579"/>
      <name val="Verdana"/>
      <family val="2"/>
    </font>
    <font>
      <sz val="10"/>
      <color theme="0" tint="-0.34998626667073579"/>
      <name val="Verdana"/>
      <family val="2"/>
    </font>
    <font>
      <b/>
      <sz val="10"/>
      <color theme="0" tint="-0.34998626667073579"/>
      <name val="Verdana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Tahoma"/>
      <family val="2"/>
    </font>
    <font>
      <b/>
      <sz val="11"/>
      <color rgb="FF000000"/>
      <name val="Calibri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2"/>
      <name val="Gotham"/>
      <family val="3"/>
    </font>
    <font>
      <sz val="12"/>
      <name val="Gotham"/>
      <family val="3"/>
    </font>
    <font>
      <b/>
      <sz val="11"/>
      <name val="Gotham"/>
      <family val="3"/>
    </font>
    <font>
      <sz val="11"/>
      <name val="Gotham"/>
      <family val="3"/>
    </font>
    <font>
      <b/>
      <sz val="14"/>
      <name val="Gotham"/>
      <family val="3"/>
    </font>
    <font>
      <b/>
      <sz val="24"/>
      <name val="Gotham"/>
      <family val="3"/>
    </font>
    <font>
      <sz val="12"/>
      <name val="Arial"/>
      <family val="2"/>
    </font>
    <font>
      <b/>
      <sz val="10.5"/>
      <name val="Arial"/>
      <family val="2"/>
    </font>
    <font>
      <b/>
      <sz val="10.5"/>
      <color rgb="FF000000"/>
      <name val="Arial"/>
      <family val="2"/>
    </font>
    <font>
      <sz val="10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5A729"/>
        <bgColor indexed="64"/>
      </patternFill>
    </fill>
    <fill>
      <patternFill patternType="solid">
        <fgColor rgb="FFF8D628"/>
        <bgColor indexed="64"/>
      </patternFill>
    </fill>
    <fill>
      <patternFill patternType="solid">
        <fgColor rgb="FFCCCCCC"/>
        <bgColor indexed="64"/>
      </patternFill>
    </fill>
  </fills>
  <borders count="74">
    <border>
      <left/>
      <right/>
      <top/>
      <bottom/>
      <diagonal/>
    </border>
    <border>
      <left/>
      <right/>
      <top style="double">
        <color indexed="9"/>
      </top>
      <bottom style="double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/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9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4" fillId="0" borderId="0"/>
    <xf numFmtId="43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</cellStyleXfs>
  <cellXfs count="350">
    <xf numFmtId="0" fontId="0" fillId="0" borderId="0" xfId="0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vertical="center"/>
    </xf>
    <xf numFmtId="40" fontId="11" fillId="0" borderId="14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vertical="center"/>
    </xf>
    <xf numFmtId="2" fontId="11" fillId="0" borderId="12" xfId="0" applyNumberFormat="1" applyFont="1" applyBorder="1" applyAlignment="1">
      <alignment horizontal="right" vertical="center"/>
    </xf>
    <xf numFmtId="2" fontId="11" fillId="0" borderId="15" xfId="0" applyNumberFormat="1" applyFont="1" applyBorder="1" applyAlignment="1">
      <alignment horizontal="right" vertical="center"/>
    </xf>
    <xf numFmtId="2" fontId="11" fillId="0" borderId="10" xfId="0" applyNumberFormat="1" applyFont="1" applyBorder="1" applyAlignment="1">
      <alignment horizontal="right" vertical="center"/>
    </xf>
    <xf numFmtId="0" fontId="11" fillId="0" borderId="0" xfId="0" applyFont="1" applyBorder="1"/>
    <xf numFmtId="165" fontId="11" fillId="0" borderId="0" xfId="0" applyNumberFormat="1" applyFont="1" applyBorder="1"/>
    <xf numFmtId="40" fontId="11" fillId="0" borderId="0" xfId="0" applyNumberFormat="1" applyFont="1" applyBorder="1"/>
    <xf numFmtId="4" fontId="11" fillId="0" borderId="0" xfId="0" applyNumberFormat="1" applyFont="1" applyBorder="1"/>
    <xf numFmtId="2" fontId="11" fillId="0" borderId="0" xfId="0" applyNumberFormat="1" applyFont="1" applyBorder="1"/>
    <xf numFmtId="0" fontId="8" fillId="0" borderId="0" xfId="0" applyFont="1" applyBorder="1"/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8" fillId="2" borderId="0" xfId="0" applyFont="1" applyFill="1"/>
    <xf numFmtId="0" fontId="11" fillId="4" borderId="0" xfId="0" applyFont="1" applyFill="1" applyAlignment="1">
      <alignment horizontal="left" vertical="center"/>
    </xf>
    <xf numFmtId="0" fontId="16" fillId="0" borderId="0" xfId="0" applyFont="1" applyAlignment="1">
      <alignment horizontal="center"/>
    </xf>
    <xf numFmtId="0" fontId="11" fillId="0" borderId="2" xfId="0" applyFont="1" applyBorder="1" applyAlignment="1">
      <alignment horizontal="left" indent="1"/>
    </xf>
    <xf numFmtId="4" fontId="12" fillId="0" borderId="2" xfId="0" applyNumberFormat="1" applyFont="1" applyBorder="1"/>
    <xf numFmtId="0" fontId="16" fillId="0" borderId="0" xfId="0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indent="1"/>
    </xf>
    <xf numFmtId="0" fontId="12" fillId="0" borderId="8" xfId="0" applyFont="1" applyBorder="1" applyAlignment="1">
      <alignment horizontal="left" vertical="center" indent="1"/>
    </xf>
    <xf numFmtId="4" fontId="12" fillId="0" borderId="8" xfId="0" applyNumberFormat="1" applyFont="1" applyBorder="1" applyAlignment="1">
      <alignment horizontal="left" indent="1"/>
    </xf>
    <xf numFmtId="4" fontId="12" fillId="0" borderId="8" xfId="0" applyNumberFormat="1" applyFont="1" applyBorder="1"/>
    <xf numFmtId="0" fontId="18" fillId="0" borderId="0" xfId="0" applyFont="1" applyBorder="1"/>
    <xf numFmtId="0" fontId="11" fillId="4" borderId="18" xfId="0" applyFont="1" applyFill="1" applyBorder="1" applyAlignment="1">
      <alignment horizontal="center" vertical="center" wrapText="1"/>
    </xf>
    <xf numFmtId="4" fontId="11" fillId="4" borderId="18" xfId="0" applyNumberFormat="1" applyFont="1" applyFill="1" applyBorder="1" applyAlignment="1">
      <alignment horizontal="right"/>
    </xf>
    <xf numFmtId="0" fontId="11" fillId="0" borderId="18" xfId="0" applyFont="1" applyBorder="1" applyAlignment="1">
      <alignment horizontal="left" vertical="center" indent="1"/>
    </xf>
    <xf numFmtId="4" fontId="11" fillId="0" borderId="18" xfId="0" applyNumberFormat="1" applyFont="1" applyBorder="1" applyAlignment="1">
      <alignment horizontal="right" indent="1"/>
    </xf>
    <xf numFmtId="0" fontId="14" fillId="0" borderId="0" xfId="0" applyFont="1" applyBorder="1"/>
    <xf numFmtId="0" fontId="13" fillId="0" borderId="0" xfId="0" applyFont="1" applyBorder="1"/>
    <xf numFmtId="0" fontId="11" fillId="4" borderId="18" xfId="0" applyFont="1" applyFill="1" applyBorder="1" applyAlignment="1">
      <alignment horizontal="left" vertical="center" wrapText="1" indent="3"/>
    </xf>
    <xf numFmtId="0" fontId="11" fillId="4" borderId="18" xfId="0" applyFont="1" applyFill="1" applyBorder="1" applyAlignment="1">
      <alignment horizontal="left" vertical="center" wrapText="1" indent="1"/>
    </xf>
    <xf numFmtId="0" fontId="18" fillId="0" borderId="0" xfId="0" applyFont="1"/>
    <xf numFmtId="0" fontId="11" fillId="0" borderId="18" xfId="0" applyFont="1" applyBorder="1" applyAlignment="1">
      <alignment horizontal="left" vertical="center" indent="2"/>
    </xf>
    <xf numFmtId="4" fontId="12" fillId="0" borderId="18" xfId="0" applyNumberFormat="1" applyFont="1" applyBorder="1"/>
    <xf numFmtId="0" fontId="12" fillId="0" borderId="18" xfId="0" applyFont="1" applyBorder="1" applyAlignment="1">
      <alignment horizontal="left" vertical="center" indent="3"/>
    </xf>
    <xf numFmtId="0" fontId="12" fillId="0" borderId="0" xfId="0" applyFont="1" applyFill="1"/>
    <xf numFmtId="4" fontId="11" fillId="0" borderId="18" xfId="0" applyNumberFormat="1" applyFont="1" applyFill="1" applyBorder="1" applyAlignment="1">
      <alignment horizontal="right"/>
    </xf>
    <xf numFmtId="4" fontId="11" fillId="0" borderId="18" xfId="0" applyNumberFormat="1" applyFont="1" applyFill="1" applyBorder="1"/>
    <xf numFmtId="0" fontId="12" fillId="0" borderId="18" xfId="0" applyFont="1" applyBorder="1" applyAlignment="1">
      <alignment horizontal="left" vertical="center" indent="2"/>
    </xf>
    <xf numFmtId="0" fontId="11" fillId="0" borderId="18" xfId="0" applyFont="1" applyFill="1" applyBorder="1" applyAlignment="1">
      <alignment horizontal="left" vertical="center" wrapText="1" indent="1"/>
    </xf>
    <xf numFmtId="0" fontId="12" fillId="0" borderId="9" xfId="0" applyFont="1" applyBorder="1" applyAlignment="1">
      <alignment horizontal="left" vertical="center" indent="2"/>
    </xf>
    <xf numFmtId="0" fontId="19" fillId="0" borderId="0" xfId="2" applyFont="1"/>
    <xf numFmtId="0" fontId="20" fillId="0" borderId="0" xfId="2" applyFont="1" applyBorder="1" applyAlignment="1">
      <alignment horizontal="right"/>
    </xf>
    <xf numFmtId="0" fontId="17" fillId="0" borderId="0" xfId="2" applyFont="1"/>
    <xf numFmtId="0" fontId="17" fillId="0" borderId="0" xfId="2" applyFont="1" applyBorder="1"/>
    <xf numFmtId="0" fontId="21" fillId="0" borderId="0" xfId="0" applyFont="1"/>
    <xf numFmtId="0" fontId="17" fillId="0" borderId="0" xfId="1" applyFont="1"/>
    <xf numFmtId="0" fontId="17" fillId="0" borderId="0" xfId="1" applyFont="1" applyBorder="1"/>
    <xf numFmtId="165" fontId="17" fillId="0" borderId="25" xfId="1" applyNumberFormat="1" applyFont="1" applyFill="1" applyBorder="1" applyAlignment="1">
      <alignment horizontal="center" vertical="center" wrapText="1"/>
    </xf>
    <xf numFmtId="4" fontId="8" fillId="0" borderId="31" xfId="1" applyNumberFormat="1" applyFont="1" applyFill="1" applyBorder="1" applyAlignment="1">
      <alignment horizontal="right" vertical="center"/>
    </xf>
    <xf numFmtId="168" fontId="14" fillId="0" borderId="32" xfId="1" applyNumberFormat="1" applyFont="1" applyFill="1" applyBorder="1" applyAlignment="1">
      <alignment horizontal="right"/>
    </xf>
    <xf numFmtId="0" fontId="17" fillId="0" borderId="0" xfId="1" applyFont="1" applyFill="1"/>
    <xf numFmtId="165" fontId="17" fillId="0" borderId="26" xfId="1" applyNumberFormat="1" applyFont="1" applyFill="1" applyBorder="1" applyAlignment="1">
      <alignment horizontal="center" vertical="center" wrapText="1"/>
    </xf>
    <xf numFmtId="4" fontId="8" fillId="0" borderId="20" xfId="1" applyNumberFormat="1" applyFont="1" applyFill="1" applyBorder="1" applyAlignment="1">
      <alignment horizontal="right" vertical="center"/>
    </xf>
    <xf numFmtId="168" fontId="14" fillId="0" borderId="9" xfId="1" applyNumberFormat="1" applyFont="1" applyFill="1" applyBorder="1" applyAlignment="1">
      <alignment horizontal="right" vertical="center"/>
    </xf>
    <xf numFmtId="165" fontId="17" fillId="0" borderId="27" xfId="1" applyNumberFormat="1" applyFont="1" applyFill="1" applyBorder="1" applyAlignment="1">
      <alignment horizontal="center" vertical="center" wrapText="1"/>
    </xf>
    <xf numFmtId="165" fontId="8" fillId="0" borderId="21" xfId="1" applyNumberFormat="1" applyFont="1" applyFill="1" applyBorder="1" applyAlignment="1">
      <alignment horizontal="right" vertical="center"/>
    </xf>
    <xf numFmtId="167" fontId="14" fillId="0" borderId="8" xfId="1" applyNumberFormat="1" applyFont="1" applyFill="1" applyBorder="1" applyAlignment="1">
      <alignment horizontal="right"/>
    </xf>
    <xf numFmtId="165" fontId="17" fillId="0" borderId="28" xfId="1" applyNumberFormat="1" applyFont="1" applyFill="1" applyBorder="1" applyAlignment="1">
      <alignment horizontal="center" vertical="center" wrapText="1"/>
    </xf>
    <xf numFmtId="165" fontId="8" fillId="0" borderId="22" xfId="1" applyNumberFormat="1" applyFont="1" applyFill="1" applyBorder="1" applyAlignment="1">
      <alignment horizontal="right" vertical="center"/>
    </xf>
    <xf numFmtId="167" fontId="14" fillId="0" borderId="33" xfId="1" applyNumberFormat="1" applyFont="1" applyFill="1" applyBorder="1" applyAlignment="1">
      <alignment horizontal="right" vertical="center"/>
    </xf>
    <xf numFmtId="165" fontId="8" fillId="0" borderId="36" xfId="1" applyNumberFormat="1" applyFont="1" applyFill="1" applyBorder="1" applyAlignment="1">
      <alignment horizontal="right" vertical="center"/>
    </xf>
    <xf numFmtId="167" fontId="14" fillId="0" borderId="18" xfId="1" applyNumberFormat="1" applyFont="1" applyFill="1" applyBorder="1" applyAlignment="1">
      <alignment horizontal="right"/>
    </xf>
    <xf numFmtId="165" fontId="8" fillId="0" borderId="20" xfId="1" applyNumberFormat="1" applyFont="1" applyFill="1" applyBorder="1" applyAlignment="1">
      <alignment horizontal="right" vertical="center"/>
    </xf>
    <xf numFmtId="167" fontId="14" fillId="0" borderId="9" xfId="1" applyNumberFormat="1" applyFont="1" applyFill="1" applyBorder="1" applyAlignment="1">
      <alignment horizontal="right" vertical="center"/>
    </xf>
    <xf numFmtId="165" fontId="8" fillId="0" borderId="23" xfId="1" applyNumberFormat="1" applyFont="1" applyFill="1" applyBorder="1" applyAlignment="1">
      <alignment horizontal="right" vertical="center"/>
    </xf>
    <xf numFmtId="167" fontId="14" fillId="0" borderId="34" xfId="1" applyNumberFormat="1" applyFont="1" applyFill="1" applyBorder="1" applyAlignment="1">
      <alignment horizontal="right"/>
    </xf>
    <xf numFmtId="165" fontId="8" fillId="0" borderId="24" xfId="1" applyNumberFormat="1" applyFont="1" applyFill="1" applyBorder="1" applyAlignment="1">
      <alignment horizontal="right" vertical="center"/>
    </xf>
    <xf numFmtId="167" fontId="14" fillId="0" borderId="35" xfId="1" applyNumberFormat="1" applyFont="1" applyFill="1" applyBorder="1" applyAlignment="1">
      <alignment horizontal="right" vertical="center"/>
    </xf>
    <xf numFmtId="0" fontId="12" fillId="0" borderId="0" xfId="1" applyFont="1"/>
    <xf numFmtId="0" fontId="23" fillId="0" borderId="0" xfId="0" applyFont="1"/>
    <xf numFmtId="0" fontId="24" fillId="0" borderId="0" xfId="0" applyFont="1"/>
    <xf numFmtId="0" fontId="14" fillId="0" borderId="0" xfId="0" applyFont="1"/>
    <xf numFmtId="0" fontId="8" fillId="0" borderId="0" xfId="0" applyFont="1" applyFill="1"/>
    <xf numFmtId="166" fontId="8" fillId="0" borderId="0" xfId="0" applyNumberFormat="1" applyFont="1" applyFill="1"/>
    <xf numFmtId="4" fontId="8" fillId="0" borderId="0" xfId="0" applyNumberFormat="1" applyFont="1"/>
    <xf numFmtId="4" fontId="8" fillId="0" borderId="0" xfId="0" applyNumberFormat="1" applyFont="1" applyBorder="1"/>
    <xf numFmtId="0" fontId="11" fillId="4" borderId="0" xfId="0" applyFont="1" applyFill="1" applyBorder="1" applyAlignment="1" applyProtection="1">
      <alignment horizontal="left" vertical="center" wrapText="1"/>
    </xf>
    <xf numFmtId="0" fontId="25" fillId="0" borderId="0" xfId="0" applyFont="1"/>
    <xf numFmtId="0" fontId="26" fillId="0" borderId="0" xfId="0" applyFont="1"/>
    <xf numFmtId="0" fontId="26" fillId="2" borderId="0" xfId="0" applyFont="1" applyFill="1"/>
    <xf numFmtId="0" fontId="26" fillId="0" borderId="0" xfId="0" applyFont="1" applyBorder="1"/>
    <xf numFmtId="0" fontId="27" fillId="0" borderId="0" xfId="0" applyFont="1" applyBorder="1"/>
    <xf numFmtId="4" fontId="12" fillId="0" borderId="9" xfId="0" applyNumberFormat="1" applyFont="1" applyBorder="1"/>
    <xf numFmtId="4" fontId="11" fillId="0" borderId="18" xfId="0" applyNumberFormat="1" applyFont="1" applyBorder="1" applyAlignment="1">
      <alignment horizontal="right"/>
    </xf>
    <xf numFmtId="4" fontId="12" fillId="0" borderId="18" xfId="0" applyNumberFormat="1" applyFont="1" applyBorder="1" applyAlignment="1">
      <alignment horizontal="right"/>
    </xf>
    <xf numFmtId="0" fontId="12" fillId="0" borderId="18" xfId="0" applyFont="1" applyFill="1" applyBorder="1"/>
    <xf numFmtId="4" fontId="12" fillId="0" borderId="9" xfId="0" applyNumberFormat="1" applyFont="1" applyBorder="1" applyAlignment="1">
      <alignment horizontal="right"/>
    </xf>
    <xf numFmtId="0" fontId="11" fillId="0" borderId="0" xfId="0" applyFont="1" applyFill="1" applyBorder="1" applyAlignment="1" applyProtection="1">
      <alignment horizontal="center" vertical="center" wrapText="1"/>
    </xf>
    <xf numFmtId="166" fontId="11" fillId="0" borderId="0" xfId="0" applyNumberFormat="1" applyFont="1" applyFill="1"/>
    <xf numFmtId="166" fontId="11" fillId="4" borderId="0" xfId="0" applyNumberFormat="1" applyFont="1" applyFill="1"/>
    <xf numFmtId="0" fontId="11" fillId="0" borderId="0" xfId="0" applyFont="1" applyFill="1" applyBorder="1" applyAlignment="1" applyProtection="1">
      <alignment horizontal="left" wrapText="1" indent="1"/>
    </xf>
    <xf numFmtId="166" fontId="11" fillId="0" borderId="0" xfId="0" applyNumberFormat="1" applyFont="1" applyFill="1" applyBorder="1"/>
    <xf numFmtId="0" fontId="11" fillId="0" borderId="0" xfId="0" applyFont="1" applyFill="1"/>
    <xf numFmtId="0" fontId="11" fillId="0" borderId="0" xfId="0" applyFont="1" applyFill="1" applyBorder="1" applyAlignment="1" applyProtection="1">
      <alignment horizontal="left" wrapText="1" indent="2"/>
    </xf>
    <xf numFmtId="166" fontId="12" fillId="0" borderId="0" xfId="0" applyNumberFormat="1" applyFont="1" applyFill="1" applyBorder="1"/>
    <xf numFmtId="166" fontId="12" fillId="0" borderId="0" xfId="0" applyNumberFormat="1" applyFont="1" applyFill="1"/>
    <xf numFmtId="0" fontId="11" fillId="0" borderId="0" xfId="0" applyFont="1" applyFill="1" applyAlignment="1">
      <alignment horizontal="left" wrapText="1" indent="2"/>
    </xf>
    <xf numFmtId="0" fontId="11" fillId="0" borderId="0" xfId="0" quotePrefix="1" applyFont="1" applyFill="1" applyBorder="1" applyAlignment="1" applyProtection="1">
      <alignment horizontal="left" wrapText="1" indent="4"/>
    </xf>
    <xf numFmtId="0" fontId="12" fillId="0" borderId="0" xfId="0" applyFont="1" applyFill="1" applyBorder="1" applyAlignment="1" applyProtection="1">
      <alignment horizontal="left" wrapText="1" indent="3"/>
    </xf>
    <xf numFmtId="0" fontId="12" fillId="0" borderId="0" xfId="0" quotePrefix="1" applyFont="1" applyFill="1" applyBorder="1" applyAlignment="1" applyProtection="1">
      <alignment horizontal="left" wrapText="1" indent="3"/>
    </xf>
    <xf numFmtId="0" fontId="11" fillId="0" borderId="0" xfId="0" applyFont="1" applyFill="1" applyBorder="1" applyAlignment="1" applyProtection="1">
      <alignment horizontal="left" wrapText="1" indent="3"/>
    </xf>
    <xf numFmtId="4" fontId="12" fillId="0" borderId="0" xfId="0" applyNumberFormat="1" applyFont="1" applyFill="1"/>
    <xf numFmtId="0" fontId="12" fillId="0" borderId="0" xfId="0" applyFont="1" applyFill="1" applyBorder="1" applyAlignment="1" applyProtection="1">
      <alignment horizontal="left" wrapText="1" indent="2"/>
    </xf>
    <xf numFmtId="0" fontId="11" fillId="0" borderId="19" xfId="0" applyFont="1" applyFill="1" applyBorder="1" applyAlignment="1" applyProtection="1">
      <alignment horizontal="left" vertical="center" wrapText="1" indent="2"/>
    </xf>
    <xf numFmtId="4" fontId="12" fillId="0" borderId="19" xfId="0" applyNumberFormat="1" applyFont="1" applyFill="1" applyBorder="1"/>
    <xf numFmtId="0" fontId="13" fillId="0" borderId="57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7" xfId="0" applyFont="1" applyBorder="1" applyAlignment="1">
      <alignment horizontal="centerContinuous" vertical="center"/>
    </xf>
    <xf numFmtId="4" fontId="12" fillId="0" borderId="18" xfId="0" applyNumberFormat="1" applyFont="1" applyFill="1" applyBorder="1" applyAlignment="1">
      <alignment horizontal="right"/>
    </xf>
    <xf numFmtId="166" fontId="30" fillId="0" borderId="0" xfId="7" applyNumberFormat="1" applyFont="1" applyFill="1"/>
    <xf numFmtId="0" fontId="32" fillId="0" borderId="10" xfId="0" applyFont="1" applyBorder="1" applyAlignment="1">
      <alignment horizontal="justify" vertical="top" wrapText="1"/>
    </xf>
    <xf numFmtId="43" fontId="12" fillId="0" borderId="10" xfId="4" applyFont="1" applyBorder="1" applyAlignment="1">
      <alignment vertical="center"/>
    </xf>
    <xf numFmtId="43" fontId="12" fillId="0" borderId="12" xfId="4" applyFont="1" applyBorder="1" applyAlignment="1">
      <alignment vertical="center"/>
    </xf>
    <xf numFmtId="4" fontId="12" fillId="0" borderId="13" xfId="0" applyNumberFormat="1" applyFont="1" applyBorder="1" applyAlignment="1">
      <alignment vertical="center"/>
    </xf>
    <xf numFmtId="0" fontId="11" fillId="4" borderId="54" xfId="0" applyFont="1" applyFill="1" applyBorder="1" applyAlignment="1">
      <alignment horizontal="left" vertical="center"/>
    </xf>
    <xf numFmtId="43" fontId="12" fillId="0" borderId="13" xfId="4" applyFont="1" applyBorder="1" applyAlignment="1">
      <alignment vertical="center"/>
    </xf>
    <xf numFmtId="4" fontId="11" fillId="0" borderId="36" xfId="0" applyNumberFormat="1" applyFont="1" applyFill="1" applyBorder="1" applyAlignment="1">
      <alignment horizontal="right"/>
    </xf>
    <xf numFmtId="0" fontId="34" fillId="0" borderId="0" xfId="0" applyFont="1" applyAlignment="1">
      <alignment horizontal="center" vertical="center"/>
    </xf>
    <xf numFmtId="0" fontId="35" fillId="0" borderId="0" xfId="0" applyFont="1"/>
    <xf numFmtId="0" fontId="33" fillId="0" borderId="0" xfId="0" applyFont="1"/>
    <xf numFmtId="0" fontId="23" fillId="0" borderId="0" xfId="7" applyFont="1" applyAlignment="1">
      <alignment vertical="center"/>
    </xf>
    <xf numFmtId="0" fontId="24" fillId="0" borderId="0" xfId="7" applyFont="1" applyAlignment="1">
      <alignment vertical="center"/>
    </xf>
    <xf numFmtId="0" fontId="2" fillId="0" borderId="0" xfId="7" applyFont="1"/>
    <xf numFmtId="0" fontId="10" fillId="0" borderId="0" xfId="7" applyFont="1"/>
    <xf numFmtId="0" fontId="8" fillId="0" borderId="0" xfId="7" applyFont="1" applyAlignment="1">
      <alignment vertical="center"/>
    </xf>
    <xf numFmtId="0" fontId="3" fillId="0" borderId="0" xfId="7" applyFont="1"/>
    <xf numFmtId="0" fontId="14" fillId="0" borderId="0" xfId="7" applyFont="1" applyAlignment="1">
      <alignment vertical="center"/>
    </xf>
    <xf numFmtId="0" fontId="12" fillId="0" borderId="0" xfId="7" applyFont="1" applyFill="1"/>
    <xf numFmtId="0" fontId="11" fillId="0" borderId="0" xfId="7" applyFont="1" applyFill="1" applyBorder="1" applyAlignment="1" applyProtection="1">
      <alignment horizontal="center" vertical="center" wrapText="1"/>
    </xf>
    <xf numFmtId="166" fontId="11" fillId="0" borderId="0" xfId="7" applyNumberFormat="1" applyFont="1" applyFill="1"/>
    <xf numFmtId="4" fontId="12" fillId="0" borderId="0" xfId="7" applyNumberFormat="1" applyFont="1" applyFill="1"/>
    <xf numFmtId="0" fontId="11" fillId="4" borderId="0" xfId="7" applyFont="1" applyFill="1" applyBorder="1" applyAlignment="1" applyProtection="1">
      <alignment horizontal="left" vertical="center" wrapText="1"/>
    </xf>
    <xf numFmtId="166" fontId="11" fillId="4" borderId="0" xfId="7" applyNumberFormat="1" applyFont="1" applyFill="1"/>
    <xf numFmtId="0" fontId="11" fillId="0" borderId="0" xfId="7" applyFont="1" applyFill="1" applyBorder="1" applyAlignment="1" applyProtection="1">
      <alignment wrapText="1"/>
    </xf>
    <xf numFmtId="166" fontId="11" fillId="0" borderId="0" xfId="7" applyNumberFormat="1" applyFont="1" applyFill="1" applyBorder="1" applyAlignment="1">
      <alignment vertical="center"/>
    </xf>
    <xf numFmtId="0" fontId="11" fillId="0" borderId="0" xfId="7" applyFont="1" applyFill="1"/>
    <xf numFmtId="0" fontId="12" fillId="0" borderId="0" xfId="7" applyFont="1"/>
    <xf numFmtId="0" fontId="11" fillId="0" borderId="0" xfId="7" applyFont="1" applyFill="1" applyBorder="1" applyAlignment="1" applyProtection="1">
      <alignment horizontal="left" vertical="center" wrapText="1"/>
    </xf>
    <xf numFmtId="166" fontId="12" fillId="0" borderId="0" xfId="7" applyNumberFormat="1" applyFont="1" applyFill="1" applyBorder="1" applyAlignment="1">
      <alignment vertical="center"/>
    </xf>
    <xf numFmtId="166" fontId="11" fillId="0" borderId="0" xfId="7" applyNumberFormat="1" applyFont="1" applyFill="1" applyAlignment="1">
      <alignment vertical="center"/>
    </xf>
    <xf numFmtId="0" fontId="12" fillId="0" borderId="0" xfId="7" applyFont="1" applyFill="1" applyBorder="1" applyAlignment="1" applyProtection="1">
      <alignment horizontal="left" vertical="center" wrapText="1"/>
    </xf>
    <xf numFmtId="0" fontId="11" fillId="0" borderId="0" xfId="7" applyFont="1" applyFill="1" applyAlignment="1">
      <alignment horizontal="left" vertical="center" wrapText="1"/>
    </xf>
    <xf numFmtId="166" fontId="12" fillId="0" borderId="0" xfId="7" applyNumberFormat="1" applyFont="1" applyFill="1" applyAlignment="1">
      <alignment vertical="center"/>
    </xf>
    <xf numFmtId="0" fontId="12" fillId="0" borderId="0" xfId="7" quotePrefix="1" applyFont="1" applyFill="1" applyBorder="1" applyAlignment="1" applyProtection="1">
      <alignment horizontal="left" vertical="center" wrapText="1"/>
    </xf>
    <xf numFmtId="0" fontId="11" fillId="0" borderId="0" xfId="7" quotePrefix="1" applyFont="1" applyFill="1" applyBorder="1" applyAlignment="1" applyProtection="1">
      <alignment horizontal="left" vertical="center" wrapText="1"/>
    </xf>
    <xf numFmtId="166" fontId="11" fillId="4" borderId="0" xfId="7" applyNumberFormat="1" applyFont="1" applyFill="1" applyAlignment="1">
      <alignment vertical="center"/>
    </xf>
    <xf numFmtId="4" fontId="12" fillId="0" borderId="0" xfId="7" applyNumberFormat="1" applyFont="1" applyFill="1" applyAlignment="1">
      <alignment vertical="center"/>
    </xf>
    <xf numFmtId="4" fontId="11" fillId="0" borderId="0" xfId="7" applyNumberFormat="1" applyFont="1" applyFill="1" applyAlignment="1">
      <alignment vertical="center"/>
    </xf>
    <xf numFmtId="0" fontId="11" fillId="0" borderId="19" xfId="7" applyFont="1" applyFill="1" applyBorder="1" applyAlignment="1" applyProtection="1">
      <alignment horizontal="left" vertical="center" wrapText="1"/>
    </xf>
    <xf numFmtId="4" fontId="12" fillId="0" borderId="19" xfId="7" applyNumberFormat="1" applyFont="1" applyFill="1" applyBorder="1" applyAlignment="1">
      <alignment vertical="center"/>
    </xf>
    <xf numFmtId="166" fontId="12" fillId="0" borderId="0" xfId="7" applyNumberFormat="1" applyFont="1" applyFill="1"/>
    <xf numFmtId="166" fontId="5" fillId="0" borderId="0" xfId="7" applyNumberFormat="1" applyFont="1" applyFill="1"/>
    <xf numFmtId="0" fontId="5" fillId="0" borderId="0" xfId="7" applyFont="1" applyFill="1"/>
    <xf numFmtId="0" fontId="5" fillId="0" borderId="0" xfId="7" applyFont="1"/>
    <xf numFmtId="0" fontId="12" fillId="0" borderId="0" xfId="7" applyFont="1" applyAlignment="1">
      <alignment vertical="center"/>
    </xf>
    <xf numFmtId="4" fontId="12" fillId="0" borderId="0" xfId="7" applyNumberFormat="1" applyFont="1" applyAlignment="1">
      <alignment vertical="center"/>
    </xf>
    <xf numFmtId="4" fontId="31" fillId="0" borderId="0" xfId="7" applyNumberFormat="1" applyFont="1" applyAlignment="1">
      <alignment vertical="center"/>
    </xf>
    <xf numFmtId="4" fontId="1" fillId="0" borderId="0" xfId="7" applyNumberFormat="1" applyFont="1" applyAlignment="1">
      <alignment vertical="center"/>
    </xf>
    <xf numFmtId="4" fontId="5" fillId="0" borderId="0" xfId="7" applyNumberFormat="1" applyFont="1"/>
    <xf numFmtId="4" fontId="31" fillId="0" borderId="54" xfId="7" applyNumberFormat="1" applyFont="1" applyBorder="1" applyAlignment="1">
      <alignment vertical="center"/>
    </xf>
    <xf numFmtId="4" fontId="3" fillId="0" borderId="0" xfId="7" applyNumberFormat="1" applyFont="1"/>
    <xf numFmtId="43" fontId="24" fillId="0" borderId="0" xfId="4" applyFont="1"/>
    <xf numFmtId="4" fontId="12" fillId="0" borderId="0" xfId="0" applyNumberFormat="1" applyFont="1" applyFill="1" applyBorder="1" applyAlignment="1">
      <alignment horizontal="right"/>
    </xf>
    <xf numFmtId="43" fontId="17" fillId="0" borderId="0" xfId="4" applyFont="1" applyFill="1"/>
    <xf numFmtId="4" fontId="12" fillId="0" borderId="16" xfId="0" applyNumberFormat="1" applyFont="1" applyBorder="1" applyAlignment="1">
      <alignment vertical="center"/>
    </xf>
    <xf numFmtId="0" fontId="9" fillId="0" borderId="57" xfId="0" applyFont="1" applyBorder="1" applyAlignment="1">
      <alignment horizontal="center" vertical="center"/>
    </xf>
    <xf numFmtId="0" fontId="36" fillId="3" borderId="5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horizontal="center" vertical="center"/>
    </xf>
    <xf numFmtId="0" fontId="36" fillId="3" borderId="43" xfId="0" applyFont="1" applyFill="1" applyBorder="1" applyAlignment="1">
      <alignment horizontal="center" vertical="center"/>
    </xf>
    <xf numFmtId="0" fontId="36" fillId="3" borderId="40" xfId="0" applyFont="1" applyFill="1" applyBorder="1" applyAlignment="1">
      <alignment horizontal="center" vertical="center"/>
    </xf>
    <xf numFmtId="0" fontId="37" fillId="0" borderId="0" xfId="0" applyFont="1" applyFill="1" applyBorder="1"/>
    <xf numFmtId="0" fontId="36" fillId="3" borderId="7" xfId="0" applyFont="1" applyFill="1" applyBorder="1" applyAlignment="1">
      <alignment horizontal="center" vertical="center"/>
    </xf>
    <xf numFmtId="0" fontId="39" fillId="0" borderId="0" xfId="0" applyFont="1" applyFill="1"/>
    <xf numFmtId="0" fontId="38" fillId="3" borderId="6" xfId="0" applyFont="1" applyFill="1" applyBorder="1" applyAlignment="1">
      <alignment horizontal="center" vertical="center"/>
    </xf>
    <xf numFmtId="0" fontId="38" fillId="3" borderId="11" xfId="0" applyFont="1" applyFill="1" applyBorder="1" applyAlignment="1">
      <alignment horizontal="center" vertical="center"/>
    </xf>
    <xf numFmtId="0" fontId="9" fillId="0" borderId="0" xfId="0" applyFont="1"/>
    <xf numFmtId="0" fontId="40" fillId="0" borderId="0" xfId="0" applyFont="1" applyAlignment="1">
      <alignment horizontal="left" vertical="center"/>
    </xf>
    <xf numFmtId="0" fontId="40" fillId="0" borderId="0" xfId="2" applyFont="1"/>
    <xf numFmtId="0" fontId="38" fillId="3" borderId="30" xfId="1" applyFont="1" applyFill="1" applyBorder="1" applyAlignment="1">
      <alignment horizontal="center" vertical="center" wrapText="1"/>
    </xf>
    <xf numFmtId="0" fontId="38" fillId="3" borderId="29" xfId="1" applyFont="1" applyFill="1" applyBorder="1" applyAlignment="1">
      <alignment horizontal="center" vertical="center" wrapText="1"/>
    </xf>
    <xf numFmtId="165" fontId="8" fillId="0" borderId="62" xfId="1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/>
    </xf>
    <xf numFmtId="0" fontId="40" fillId="0" borderId="0" xfId="0" applyFont="1"/>
    <xf numFmtId="0" fontId="36" fillId="3" borderId="1" xfId="0" applyFont="1" applyFill="1" applyBorder="1" applyAlignment="1">
      <alignment horizontal="center" vertical="center"/>
    </xf>
    <xf numFmtId="166" fontId="8" fillId="0" borderId="0" xfId="0" applyNumberFormat="1" applyFont="1"/>
    <xf numFmtId="166" fontId="12" fillId="0" borderId="18" xfId="0" applyNumberFormat="1" applyFont="1" applyFill="1" applyBorder="1"/>
    <xf numFmtId="43" fontId="21" fillId="0" borderId="32" xfId="4" applyFont="1" applyFill="1" applyBorder="1" applyAlignment="1">
      <alignment horizontal="right" vertical="center"/>
    </xf>
    <xf numFmtId="43" fontId="21" fillId="0" borderId="9" xfId="4" applyFont="1" applyFill="1" applyBorder="1" applyAlignment="1">
      <alignment horizontal="right" vertical="center"/>
    </xf>
    <xf numFmtId="43" fontId="21" fillId="0" borderId="8" xfId="4" applyFont="1" applyFill="1" applyBorder="1" applyAlignment="1">
      <alignment horizontal="right" vertical="center"/>
    </xf>
    <xf numFmtId="43" fontId="21" fillId="0" borderId="35" xfId="4" applyFont="1" applyFill="1" applyBorder="1" applyAlignment="1">
      <alignment horizontal="right" vertical="center"/>
    </xf>
    <xf numFmtId="43" fontId="21" fillId="0" borderId="18" xfId="4" applyFont="1" applyFill="1" applyBorder="1" applyAlignment="1">
      <alignment horizontal="right" vertical="center"/>
    </xf>
    <xf numFmtId="43" fontId="21" fillId="0" borderId="34" xfId="4" applyFont="1" applyFill="1" applyBorder="1" applyAlignment="1">
      <alignment horizontal="right" vertical="center"/>
    </xf>
    <xf numFmtId="43" fontId="21" fillId="0" borderId="33" xfId="4" applyFont="1" applyFill="1" applyBorder="1" applyAlignment="1">
      <alignment horizontal="right" vertical="center"/>
    </xf>
    <xf numFmtId="43" fontId="10" fillId="0" borderId="32" xfId="4" applyFont="1" applyFill="1" applyBorder="1" applyAlignment="1">
      <alignment horizontal="right"/>
    </xf>
    <xf numFmtId="43" fontId="10" fillId="0" borderId="9" xfId="4" applyFont="1" applyFill="1" applyBorder="1" applyAlignment="1">
      <alignment horizontal="right" vertical="center"/>
    </xf>
    <xf numFmtId="43" fontId="10" fillId="0" borderId="8" xfId="4" applyFont="1" applyFill="1" applyBorder="1" applyAlignment="1">
      <alignment horizontal="right"/>
    </xf>
    <xf numFmtId="43" fontId="10" fillId="0" borderId="35" xfId="4" applyFont="1" applyFill="1" applyBorder="1" applyAlignment="1">
      <alignment horizontal="right" vertical="center"/>
    </xf>
    <xf numFmtId="43" fontId="10" fillId="0" borderId="18" xfId="4" applyFont="1" applyFill="1" applyBorder="1" applyAlignment="1">
      <alignment horizontal="right"/>
    </xf>
    <xf numFmtId="43" fontId="10" fillId="0" borderId="18" xfId="4" applyFont="1" applyFill="1" applyBorder="1" applyAlignment="1">
      <alignment horizontal="right" vertical="center"/>
    </xf>
    <xf numFmtId="43" fontId="10" fillId="0" borderId="34" xfId="4" applyFont="1" applyFill="1" applyBorder="1" applyAlignment="1">
      <alignment horizontal="right"/>
    </xf>
    <xf numFmtId="167" fontId="10" fillId="0" borderId="8" xfId="1" applyNumberFormat="1" applyFont="1" applyFill="1" applyBorder="1" applyAlignment="1">
      <alignment horizontal="right"/>
    </xf>
    <xf numFmtId="167" fontId="10" fillId="0" borderId="33" xfId="1" applyNumberFormat="1" applyFont="1" applyFill="1" applyBorder="1" applyAlignment="1">
      <alignment horizontal="right" vertical="center"/>
    </xf>
    <xf numFmtId="0" fontId="8" fillId="0" borderId="57" xfId="0" applyFont="1" applyFill="1" applyBorder="1"/>
    <xf numFmtId="0" fontId="12" fillId="0" borderId="8" xfId="0" applyFont="1" applyFill="1" applyBorder="1"/>
    <xf numFmtId="0" fontId="0" fillId="0" borderId="0" xfId="0" applyFill="1"/>
    <xf numFmtId="0" fontId="29" fillId="0" borderId="18" xfId="0" applyFont="1" applyFill="1" applyBorder="1"/>
    <xf numFmtId="0" fontId="12" fillId="0" borderId="9" xfId="0" applyFont="1" applyFill="1" applyBorder="1"/>
    <xf numFmtId="0" fontId="37" fillId="0" borderId="0" xfId="0" applyFont="1" applyFill="1"/>
    <xf numFmtId="0" fontId="11" fillId="0" borderId="18" xfId="0" applyFont="1" applyFill="1" applyBorder="1"/>
    <xf numFmtId="4" fontId="12" fillId="0" borderId="36" xfId="0" applyNumberFormat="1" applyFont="1" applyBorder="1" applyAlignment="1">
      <alignment horizontal="right"/>
    </xf>
    <xf numFmtId="4" fontId="12" fillId="0" borderId="36" xfId="0" applyNumberFormat="1" applyFont="1" applyFill="1" applyBorder="1" applyAlignment="1">
      <alignment horizontal="right"/>
    </xf>
    <xf numFmtId="4" fontId="11" fillId="4" borderId="36" xfId="0" applyNumberFormat="1" applyFont="1" applyFill="1" applyBorder="1" applyAlignment="1">
      <alignment horizontal="right"/>
    </xf>
    <xf numFmtId="4" fontId="12" fillId="0" borderId="18" xfId="7" applyNumberFormat="1" applyFont="1" applyFill="1" applyBorder="1" applyAlignment="1">
      <alignment vertical="center"/>
    </xf>
    <xf numFmtId="0" fontId="43" fillId="0" borderId="54" xfId="7" applyFont="1" applyBorder="1" applyAlignment="1">
      <alignment vertical="center"/>
    </xf>
    <xf numFmtId="4" fontId="45" fillId="0" borderId="0" xfId="7" applyNumberFormat="1" applyFont="1" applyAlignment="1">
      <alignment vertical="center"/>
    </xf>
    <xf numFmtId="4" fontId="43" fillId="0" borderId="0" xfId="7" applyNumberFormat="1" applyFont="1" applyAlignment="1">
      <alignment vertical="center"/>
    </xf>
    <xf numFmtId="0" fontId="45" fillId="0" borderId="0" xfId="7" applyFont="1" applyAlignment="1">
      <alignment vertical="center"/>
    </xf>
    <xf numFmtId="0" fontId="43" fillId="0" borderId="0" xfId="7" applyFont="1"/>
    <xf numFmtId="0" fontId="43" fillId="0" borderId="0" xfId="7" applyFont="1" applyAlignment="1">
      <alignment vertical="center"/>
    </xf>
    <xf numFmtId="0" fontId="11" fillId="0" borderId="53" xfId="0" applyFont="1" applyBorder="1" applyAlignment="1">
      <alignment horizontal="left" vertical="top"/>
    </xf>
    <xf numFmtId="0" fontId="11" fillId="0" borderId="54" xfId="0" applyFont="1" applyBorder="1" applyAlignment="1">
      <alignment horizontal="left" vertical="top"/>
    </xf>
    <xf numFmtId="0" fontId="11" fillId="0" borderId="55" xfId="0" applyFont="1" applyBorder="1" applyAlignment="1">
      <alignment horizontal="left" vertical="top"/>
    </xf>
    <xf numFmtId="0" fontId="11" fillId="0" borderId="56" xfId="0" applyFont="1" applyBorder="1" applyAlignment="1">
      <alignment horizontal="left" vertical="top"/>
    </xf>
    <xf numFmtId="0" fontId="11" fillId="0" borderId="57" xfId="0" applyFont="1" applyBorder="1" applyAlignment="1">
      <alignment horizontal="left" vertical="top"/>
    </xf>
    <xf numFmtId="0" fontId="11" fillId="0" borderId="58" xfId="0" applyFont="1" applyBorder="1" applyAlignment="1">
      <alignment horizontal="left" vertical="top"/>
    </xf>
    <xf numFmtId="0" fontId="11" fillId="3" borderId="37" xfId="0" applyFont="1" applyFill="1" applyBorder="1" applyAlignment="1">
      <alignment horizontal="center"/>
    </xf>
    <xf numFmtId="0" fontId="11" fillId="3" borderId="38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/>
    </xf>
    <xf numFmtId="0" fontId="0" fillId="0" borderId="57" xfId="0" applyBorder="1" applyAlignment="1"/>
    <xf numFmtId="0" fontId="15" fillId="0" borderId="0" xfId="0" applyFont="1" applyAlignment="1">
      <alignment horizontal="center" vertical="center"/>
    </xf>
    <xf numFmtId="0" fontId="36" fillId="3" borderId="63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36" fillId="3" borderId="64" xfId="0" applyFont="1" applyFill="1" applyBorder="1" applyAlignment="1">
      <alignment horizontal="center" vertical="center" wrapText="1"/>
    </xf>
    <xf numFmtId="0" fontId="36" fillId="3" borderId="65" xfId="0" applyFont="1" applyFill="1" applyBorder="1" applyAlignment="1">
      <alignment horizontal="center" vertical="center" wrapText="1"/>
    </xf>
    <xf numFmtId="0" fontId="36" fillId="3" borderId="39" xfId="0" applyFont="1" applyFill="1" applyBorder="1" applyAlignment="1">
      <alignment horizontal="center" vertical="center" wrapText="1"/>
    </xf>
    <xf numFmtId="0" fontId="36" fillId="3" borderId="40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/>
    </xf>
    <xf numFmtId="0" fontId="36" fillId="3" borderId="61" xfId="0" applyFont="1" applyFill="1" applyBorder="1" applyAlignment="1">
      <alignment horizontal="center" vertical="center"/>
    </xf>
    <xf numFmtId="0" fontId="36" fillId="3" borderId="59" xfId="0" applyFont="1" applyFill="1" applyBorder="1" applyAlignment="1">
      <alignment horizontal="center" vertical="center" wrapText="1"/>
    </xf>
    <xf numFmtId="0" fontId="36" fillId="3" borderId="60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/>
    </xf>
    <xf numFmtId="0" fontId="34" fillId="0" borderId="0" xfId="0" applyFont="1" applyAlignment="1">
      <alignment horizontal="center" vertical="center"/>
    </xf>
    <xf numFmtId="0" fontId="38" fillId="3" borderId="8" xfId="0" applyFont="1" applyFill="1" applyBorder="1" applyAlignment="1">
      <alignment horizontal="center" vertical="center"/>
    </xf>
    <xf numFmtId="0" fontId="38" fillId="3" borderId="18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/>
    </xf>
    <xf numFmtId="0" fontId="38" fillId="3" borderId="66" xfId="0" applyFont="1" applyFill="1" applyBorder="1" applyAlignment="1">
      <alignment horizontal="center" vertical="center"/>
    </xf>
    <xf numFmtId="0" fontId="38" fillId="3" borderId="44" xfId="0" applyFont="1" applyFill="1" applyBorder="1" applyAlignment="1">
      <alignment horizontal="center" vertical="center"/>
    </xf>
    <xf numFmtId="0" fontId="38" fillId="3" borderId="45" xfId="0" applyFont="1" applyFill="1" applyBorder="1" applyAlignment="1">
      <alignment horizontal="center" vertical="center"/>
    </xf>
    <xf numFmtId="0" fontId="38" fillId="3" borderId="67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38" fillId="3" borderId="42" xfId="0" applyFont="1" applyFill="1" applyBorder="1" applyAlignment="1">
      <alignment horizontal="center" vertical="center"/>
    </xf>
    <xf numFmtId="0" fontId="38" fillId="3" borderId="6" xfId="0" applyFont="1" applyFill="1" applyBorder="1" applyAlignment="1">
      <alignment horizontal="center" vertical="center"/>
    </xf>
    <xf numFmtId="0" fontId="38" fillId="3" borderId="42" xfId="0" applyFont="1" applyFill="1" applyBorder="1" applyAlignment="1">
      <alignment horizontal="center" vertical="center" wrapText="1"/>
    </xf>
    <xf numFmtId="0" fontId="38" fillId="3" borderId="6" xfId="0" applyFont="1" applyFill="1" applyBorder="1" applyAlignment="1">
      <alignment horizontal="center" vertical="center" wrapText="1"/>
    </xf>
    <xf numFmtId="0" fontId="38" fillId="3" borderId="44" xfId="0" applyFont="1" applyFill="1" applyBorder="1" applyAlignment="1">
      <alignment horizontal="center" vertical="center" wrapText="1"/>
    </xf>
    <xf numFmtId="0" fontId="38" fillId="3" borderId="45" xfId="0" applyFont="1" applyFill="1" applyBorder="1" applyAlignment="1">
      <alignment horizontal="center" vertical="center" wrapText="1"/>
    </xf>
    <xf numFmtId="0" fontId="38" fillId="3" borderId="43" xfId="0" applyFont="1" applyFill="1" applyBorder="1" applyAlignment="1">
      <alignment horizontal="center" vertical="center" wrapText="1"/>
    </xf>
    <xf numFmtId="0" fontId="38" fillId="3" borderId="68" xfId="0" applyFont="1" applyFill="1" applyBorder="1" applyAlignment="1">
      <alignment horizontal="center" vertical="center" wrapText="1"/>
    </xf>
    <xf numFmtId="0" fontId="38" fillId="3" borderId="69" xfId="0" applyFont="1" applyFill="1" applyBorder="1" applyAlignment="1">
      <alignment horizontal="center" vertical="center" wrapText="1"/>
    </xf>
    <xf numFmtId="0" fontId="38" fillId="3" borderId="43" xfId="0" applyFont="1" applyFill="1" applyBorder="1" applyAlignment="1">
      <alignment horizontal="center" vertical="center"/>
    </xf>
    <xf numFmtId="0" fontId="38" fillId="3" borderId="61" xfId="0" applyFont="1" applyFill="1" applyBorder="1" applyAlignment="1">
      <alignment horizontal="center" vertical="center" wrapText="1"/>
    </xf>
    <xf numFmtId="0" fontId="38" fillId="3" borderId="70" xfId="0" applyFont="1" applyFill="1" applyBorder="1" applyAlignment="1">
      <alignment horizontal="center" vertical="center" wrapText="1"/>
    </xf>
    <xf numFmtId="165" fontId="17" fillId="0" borderId="21" xfId="1" applyNumberFormat="1" applyFont="1" applyFill="1" applyBorder="1" applyAlignment="1">
      <alignment horizontal="center"/>
    </xf>
    <xf numFmtId="165" fontId="17" fillId="0" borderId="22" xfId="1" applyNumberFormat="1" applyFont="1" applyFill="1" applyBorder="1" applyAlignment="1">
      <alignment horizontal="center"/>
    </xf>
    <xf numFmtId="165" fontId="17" fillId="0" borderId="23" xfId="1" applyNumberFormat="1" applyFont="1" applyFill="1" applyBorder="1" applyAlignment="1">
      <alignment horizontal="center"/>
    </xf>
    <xf numFmtId="165" fontId="17" fillId="0" borderId="20" xfId="1" applyNumberFormat="1" applyFont="1" applyFill="1" applyBorder="1" applyAlignment="1">
      <alignment horizontal="center"/>
    </xf>
    <xf numFmtId="164" fontId="22" fillId="4" borderId="32" xfId="1" applyNumberFormat="1" applyFont="1" applyFill="1" applyBorder="1" applyAlignment="1">
      <alignment horizontal="center" vertical="center" textRotation="90" wrapText="1"/>
    </xf>
    <xf numFmtId="164" fontId="22" fillId="4" borderId="18" xfId="1" applyNumberFormat="1" applyFont="1" applyFill="1" applyBorder="1" applyAlignment="1">
      <alignment horizontal="center" vertical="center" textRotation="90" wrapText="1"/>
    </xf>
    <xf numFmtId="164" fontId="22" fillId="4" borderId="35" xfId="1" applyNumberFormat="1" applyFont="1" applyFill="1" applyBorder="1" applyAlignment="1">
      <alignment horizontal="center" vertical="center" textRotation="90" wrapText="1"/>
    </xf>
    <xf numFmtId="0" fontId="17" fillId="0" borderId="32" xfId="1" applyFont="1" applyFill="1" applyBorder="1" applyAlignment="1" applyProtection="1">
      <alignment horizontal="center" vertical="center" wrapText="1"/>
    </xf>
    <xf numFmtId="0" fontId="17" fillId="0" borderId="18" xfId="1" applyFont="1" applyFill="1" applyBorder="1" applyAlignment="1" applyProtection="1">
      <alignment horizontal="center" vertical="center" wrapText="1"/>
    </xf>
    <xf numFmtId="0" fontId="17" fillId="0" borderId="33" xfId="1" applyFont="1" applyFill="1" applyBorder="1" applyAlignment="1" applyProtection="1">
      <alignment horizontal="center" vertical="center" wrapText="1"/>
    </xf>
    <xf numFmtId="167" fontId="19" fillId="0" borderId="48" xfId="1" applyNumberFormat="1" applyFont="1" applyFill="1" applyBorder="1" applyAlignment="1">
      <alignment horizontal="center" vertical="center" textRotation="90" readingOrder="1"/>
    </xf>
    <xf numFmtId="167" fontId="19" fillId="0" borderId="10" xfId="1" applyNumberFormat="1" applyFont="1" applyFill="1" applyBorder="1" applyAlignment="1">
      <alignment horizontal="center" vertical="center" textRotation="90" readingOrder="1"/>
    </xf>
    <xf numFmtId="165" fontId="17" fillId="0" borderId="49" xfId="1" applyNumberFormat="1" applyFont="1" applyFill="1" applyBorder="1" applyAlignment="1">
      <alignment horizontal="center"/>
    </xf>
    <xf numFmtId="165" fontId="17" fillId="0" borderId="17" xfId="1" applyNumberFormat="1" applyFont="1" applyFill="1" applyBorder="1" applyAlignment="1">
      <alignment horizontal="center"/>
    </xf>
    <xf numFmtId="0" fontId="17" fillId="0" borderId="34" xfId="1" applyFont="1" applyFill="1" applyBorder="1" applyAlignment="1" applyProtection="1">
      <alignment horizontal="center" vertical="center" wrapText="1"/>
    </xf>
    <xf numFmtId="167" fontId="19" fillId="0" borderId="52" xfId="1" applyNumberFormat="1" applyFont="1" applyFill="1" applyBorder="1" applyAlignment="1">
      <alignment horizontal="center" vertical="center" textRotation="90" readingOrder="1"/>
    </xf>
    <xf numFmtId="0" fontId="19" fillId="0" borderId="10" xfId="1" applyNumberFormat="1" applyFont="1" applyFill="1" applyBorder="1" applyAlignment="1">
      <alignment horizontal="center" vertical="center" textRotation="90" readingOrder="1"/>
    </xf>
    <xf numFmtId="0" fontId="19" fillId="0" borderId="8" xfId="1" applyNumberFormat="1" applyFont="1" applyFill="1" applyBorder="1" applyAlignment="1">
      <alignment horizontal="center" vertical="center" textRotation="90" readingOrder="1"/>
    </xf>
    <xf numFmtId="165" fontId="17" fillId="0" borderId="2" xfId="1" applyNumberFormat="1" applyFont="1" applyFill="1" applyBorder="1" applyAlignment="1">
      <alignment horizontal="center"/>
    </xf>
    <xf numFmtId="165" fontId="17" fillId="0" borderId="47" xfId="1" applyNumberFormat="1" applyFont="1" applyFill="1" applyBorder="1" applyAlignment="1">
      <alignment horizontal="center"/>
    </xf>
    <xf numFmtId="165" fontId="17" fillId="0" borderId="50" xfId="1" applyNumberFormat="1" applyFont="1" applyFill="1" applyBorder="1" applyAlignment="1">
      <alignment horizontal="center"/>
    </xf>
    <xf numFmtId="0" fontId="19" fillId="0" borderId="46" xfId="1" applyNumberFormat="1" applyFont="1" applyFill="1" applyBorder="1" applyAlignment="1">
      <alignment horizontal="center" vertical="center" textRotation="90" readingOrder="1"/>
    </xf>
    <xf numFmtId="165" fontId="17" fillId="0" borderId="31" xfId="1" applyNumberFormat="1" applyFont="1" applyFill="1" applyBorder="1" applyAlignment="1">
      <alignment horizontal="center"/>
    </xf>
    <xf numFmtId="165" fontId="17" fillId="0" borderId="24" xfId="1" applyNumberFormat="1" applyFont="1" applyFill="1" applyBorder="1" applyAlignment="1">
      <alignment horizontal="center"/>
    </xf>
    <xf numFmtId="165" fontId="17" fillId="0" borderId="0" xfId="1" applyNumberFormat="1" applyFont="1" applyFill="1" applyBorder="1" applyAlignment="1">
      <alignment horizontal="center"/>
    </xf>
    <xf numFmtId="0" fontId="19" fillId="0" borderId="8" xfId="1" applyNumberFormat="1" applyFont="1" applyFill="1" applyBorder="1" applyAlignment="1">
      <alignment horizontal="center" vertical="center" textRotation="90" wrapText="1" readingOrder="1"/>
    </xf>
    <xf numFmtId="0" fontId="19" fillId="0" borderId="33" xfId="1" applyNumberFormat="1" applyFont="1" applyFill="1" applyBorder="1" applyAlignment="1">
      <alignment horizontal="center" vertical="center" textRotation="90" wrapText="1" readingOrder="1"/>
    </xf>
    <xf numFmtId="165" fontId="42" fillId="0" borderId="25" xfId="1" applyNumberFormat="1" applyFont="1" applyFill="1" applyBorder="1" applyAlignment="1">
      <alignment horizontal="justify" vertical="top" wrapText="1"/>
    </xf>
    <xf numFmtId="0" fontId="42" fillId="0" borderId="31" xfId="0" applyFont="1" applyBorder="1" applyAlignment="1">
      <alignment horizontal="justify" vertical="top" wrapText="1"/>
    </xf>
    <xf numFmtId="165" fontId="42" fillId="0" borderId="26" xfId="1" applyNumberFormat="1" applyFont="1" applyFill="1" applyBorder="1" applyAlignment="1">
      <alignment horizontal="justify" vertical="top" wrapText="1"/>
    </xf>
    <xf numFmtId="0" fontId="42" fillId="0" borderId="62" xfId="0" applyFont="1" applyBorder="1" applyAlignment="1">
      <alignment horizontal="justify" vertical="top" wrapText="1"/>
    </xf>
    <xf numFmtId="165" fontId="21" fillId="0" borderId="21" xfId="1" applyNumberFormat="1" applyFont="1" applyFill="1" applyBorder="1" applyAlignment="1">
      <alignment horizontal="center"/>
    </xf>
    <xf numFmtId="165" fontId="21" fillId="0" borderId="22" xfId="1" applyNumberFormat="1" applyFont="1" applyFill="1" applyBorder="1" applyAlignment="1">
      <alignment horizontal="center"/>
    </xf>
    <xf numFmtId="165" fontId="17" fillId="0" borderId="36" xfId="1" applyNumberFormat="1" applyFont="1" applyFill="1" applyBorder="1" applyAlignment="1">
      <alignment horizontal="center"/>
    </xf>
    <xf numFmtId="165" fontId="21" fillId="0" borderId="23" xfId="1" applyNumberFormat="1" applyFont="1" applyFill="1" applyBorder="1" applyAlignment="1">
      <alignment horizontal="center"/>
    </xf>
    <xf numFmtId="165" fontId="21" fillId="0" borderId="20" xfId="1" applyNumberFormat="1" applyFont="1" applyFill="1" applyBorder="1" applyAlignment="1">
      <alignment horizontal="center"/>
    </xf>
    <xf numFmtId="165" fontId="21" fillId="0" borderId="50" xfId="1" applyNumberFormat="1" applyFont="1" applyFill="1" applyBorder="1" applyAlignment="1">
      <alignment horizontal="center"/>
    </xf>
    <xf numFmtId="165" fontId="21" fillId="0" borderId="17" xfId="1" applyNumberFormat="1" applyFont="1" applyFill="1" applyBorder="1" applyAlignment="1">
      <alignment horizontal="center"/>
    </xf>
    <xf numFmtId="165" fontId="21" fillId="0" borderId="2" xfId="1" applyNumberFormat="1" applyFont="1" applyFill="1" applyBorder="1" applyAlignment="1">
      <alignment horizontal="center"/>
    </xf>
    <xf numFmtId="165" fontId="21" fillId="0" borderId="47" xfId="1" applyNumberFormat="1" applyFont="1" applyFill="1" applyBorder="1" applyAlignment="1">
      <alignment horizontal="center"/>
    </xf>
    <xf numFmtId="0" fontId="17" fillId="0" borderId="8" xfId="1" applyFont="1" applyFill="1" applyBorder="1" applyAlignment="1" applyProtection="1">
      <alignment horizontal="center" vertical="center" wrapText="1"/>
    </xf>
    <xf numFmtId="0" fontId="38" fillId="3" borderId="51" xfId="1" applyFont="1" applyFill="1" applyBorder="1" applyAlignment="1">
      <alignment horizontal="center" vertical="center"/>
    </xf>
    <xf numFmtId="0" fontId="38" fillId="3" borderId="0" xfId="1" applyFont="1" applyFill="1" applyBorder="1" applyAlignment="1">
      <alignment horizontal="center" vertical="center"/>
    </xf>
    <xf numFmtId="0" fontId="38" fillId="3" borderId="29" xfId="1" applyFont="1" applyFill="1" applyBorder="1" applyAlignment="1">
      <alignment horizontal="center" vertical="center"/>
    </xf>
    <xf numFmtId="165" fontId="17" fillId="0" borderId="19" xfId="1" applyNumberFormat="1" applyFont="1" applyFill="1" applyBorder="1" applyAlignment="1">
      <alignment horizontal="center"/>
    </xf>
    <xf numFmtId="0" fontId="19" fillId="0" borderId="21" xfId="1" applyNumberFormat="1" applyFont="1" applyFill="1" applyBorder="1" applyAlignment="1">
      <alignment horizontal="center" vertical="center" textRotation="90" wrapText="1" readingOrder="1"/>
    </xf>
    <xf numFmtId="0" fontId="19" fillId="0" borderId="22" xfId="1" applyNumberFormat="1" applyFont="1" applyFill="1" applyBorder="1" applyAlignment="1">
      <alignment horizontal="center" vertical="center" textRotation="90" wrapText="1" readingOrder="1"/>
    </xf>
    <xf numFmtId="0" fontId="17" fillId="0" borderId="35" xfId="1" applyFont="1" applyFill="1" applyBorder="1" applyAlignment="1" applyProtection="1">
      <alignment horizontal="center" vertical="center" wrapText="1"/>
    </xf>
    <xf numFmtId="167" fontId="19" fillId="0" borderId="72" xfId="1" applyNumberFormat="1" applyFont="1" applyFill="1" applyBorder="1" applyAlignment="1">
      <alignment horizontal="center" vertical="center" textRotation="90" readingOrder="1"/>
    </xf>
    <xf numFmtId="167" fontId="19" fillId="0" borderId="13" xfId="1" applyNumberFormat="1" applyFont="1" applyFill="1" applyBorder="1" applyAlignment="1">
      <alignment horizontal="center" vertical="center" textRotation="90" readingOrder="1"/>
    </xf>
    <xf numFmtId="167" fontId="19" fillId="0" borderId="62" xfId="1" applyNumberFormat="1" applyFont="1" applyFill="1" applyBorder="1" applyAlignment="1">
      <alignment horizontal="center" vertical="center" textRotation="90" readingOrder="1"/>
    </xf>
    <xf numFmtId="0" fontId="17" fillId="0" borderId="9" xfId="1" applyFont="1" applyFill="1" applyBorder="1" applyAlignment="1" applyProtection="1">
      <alignment horizontal="center" vertical="center" wrapText="1"/>
    </xf>
    <xf numFmtId="165" fontId="42" fillId="0" borderId="31" xfId="1" applyNumberFormat="1" applyFont="1" applyFill="1" applyBorder="1" applyAlignment="1">
      <alignment horizontal="justify" vertical="top" wrapText="1"/>
    </xf>
    <xf numFmtId="165" fontId="42" fillId="0" borderId="73" xfId="1" applyNumberFormat="1" applyFont="1" applyFill="1" applyBorder="1" applyAlignment="1">
      <alignment horizontal="justify" vertical="top" wrapText="1"/>
    </xf>
    <xf numFmtId="165" fontId="42" fillId="0" borderId="24" xfId="1" applyNumberFormat="1" applyFont="1" applyFill="1" applyBorder="1" applyAlignment="1">
      <alignment horizontal="justify" vertical="top" wrapText="1"/>
    </xf>
    <xf numFmtId="0" fontId="38" fillId="3" borderId="51" xfId="1" applyFont="1" applyFill="1" applyBorder="1" applyAlignment="1">
      <alignment horizontal="center" wrapText="1"/>
    </xf>
    <xf numFmtId="0" fontId="38" fillId="3" borderId="30" xfId="1" applyFont="1" applyFill="1" applyBorder="1" applyAlignment="1">
      <alignment horizontal="center" vertical="center" wrapText="1"/>
    </xf>
    <xf numFmtId="0" fontId="38" fillId="3" borderId="29" xfId="1" applyFont="1" applyFill="1" applyBorder="1" applyAlignment="1">
      <alignment horizontal="center" vertical="center" wrapText="1"/>
    </xf>
    <xf numFmtId="0" fontId="19" fillId="0" borderId="24" xfId="1" applyNumberFormat="1" applyFont="1" applyFill="1" applyBorder="1" applyAlignment="1">
      <alignment horizontal="center" vertical="center" textRotation="90" wrapText="1" readingOrder="1"/>
    </xf>
    <xf numFmtId="167" fontId="19" fillId="0" borderId="71" xfId="1" applyNumberFormat="1" applyFont="1" applyFill="1" applyBorder="1" applyAlignment="1">
      <alignment horizontal="center" vertical="center" textRotation="90" readingOrder="1"/>
    </xf>
    <xf numFmtId="0" fontId="38" fillId="3" borderId="51" xfId="1" applyFont="1" applyFill="1" applyBorder="1" applyAlignment="1">
      <alignment horizontal="center" vertical="center" wrapText="1"/>
    </xf>
    <xf numFmtId="0" fontId="41" fillId="3" borderId="0" xfId="1" applyFont="1" applyFill="1" applyBorder="1" applyAlignment="1">
      <alignment horizontal="center" vertical="center" wrapText="1"/>
    </xf>
    <xf numFmtId="0" fontId="41" fillId="3" borderId="29" xfId="1" applyFont="1" applyFill="1" applyBorder="1" applyAlignment="1">
      <alignment horizontal="center" vertical="center" wrapText="1"/>
    </xf>
    <xf numFmtId="0" fontId="9" fillId="0" borderId="0" xfId="7" applyFont="1" applyAlignment="1">
      <alignment horizontal="center" vertical="center"/>
    </xf>
    <xf numFmtId="0" fontId="43" fillId="0" borderId="0" xfId="7" applyFont="1" applyAlignment="1">
      <alignment horizontal="justify" vertical="top" wrapText="1"/>
    </xf>
    <xf numFmtId="0" fontId="44" fillId="0" borderId="0" xfId="7" applyFont="1" applyAlignment="1">
      <alignment horizontal="center" vertical="top" wrapText="1"/>
    </xf>
    <xf numFmtId="4" fontId="43" fillId="0" borderId="0" xfId="7" applyNumberFormat="1" applyFont="1" applyAlignment="1">
      <alignment horizontal="justify" vertical="top" wrapText="1"/>
    </xf>
    <xf numFmtId="0" fontId="43" fillId="0" borderId="0" xfId="7" applyFont="1" applyBorder="1" applyAlignment="1">
      <alignment horizontal="center" vertical="center"/>
    </xf>
  </cellXfs>
  <cellStyles count="9">
    <cellStyle name="Millares" xfId="4" builtinId="3"/>
    <cellStyle name="Millares 2" xfId="8"/>
    <cellStyle name="Normal" xfId="0" builtinId="0"/>
    <cellStyle name="Normal 2" xfId="3"/>
    <cellStyle name="Normal 2 2" xfId="7"/>
    <cellStyle name="Normal 3" xfId="5"/>
    <cellStyle name="Normal 5" xfId="6"/>
    <cellStyle name="Normal_Propuesta de formato AMLO" xfId="1"/>
    <cellStyle name="Normal_S-Informe de Avance 2007 listo" xfId="2"/>
  </cellStyles>
  <dxfs count="11"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</dxfs>
  <tableStyles count="0" defaultTableStyle="TableStyleMedium9" defaultPivotStyle="PivotStyleLight16"/>
  <colors>
    <mruColors>
      <color rgb="FFCCCCCC"/>
      <color rgb="FFF8D628"/>
      <color rgb="FF75A729"/>
      <color rgb="FFC2D69B"/>
      <color rgb="FFFFC000"/>
      <color rgb="FF75A71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2</xdr:row>
      <xdr:rowOff>0</xdr:rowOff>
    </xdr:from>
    <xdr:to>
      <xdr:col>9</xdr:col>
      <xdr:colOff>800100</xdr:colOff>
      <xdr:row>2</xdr:row>
      <xdr:rowOff>95250</xdr:rowOff>
    </xdr:to>
    <xdr:sp macro="" textlink="">
      <xdr:nvSpPr>
        <xdr:cNvPr id="5" name="4 Elipse"/>
        <xdr:cNvSpPr/>
      </xdr:nvSpPr>
      <xdr:spPr>
        <a:xfrm>
          <a:off x="4229100" y="485775"/>
          <a:ext cx="457200" cy="37147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7</xdr:col>
      <xdr:colOff>1119462</xdr:colOff>
      <xdr:row>60</xdr:row>
      <xdr:rowOff>134471</xdr:rowOff>
    </xdr:from>
    <xdr:to>
      <xdr:col>10</xdr:col>
      <xdr:colOff>705970</xdr:colOff>
      <xdr:row>67</xdr:row>
      <xdr:rowOff>448235</xdr:rowOff>
    </xdr:to>
    <xdr:sp macro="" textlink="">
      <xdr:nvSpPr>
        <xdr:cNvPr id="25" name="24 CuadroTexto"/>
        <xdr:cNvSpPr txBox="1"/>
      </xdr:nvSpPr>
      <xdr:spPr>
        <a:xfrm>
          <a:off x="1690962" y="12248030"/>
          <a:ext cx="4192126" cy="1434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latin typeface="Arial" pitchFamily="34" charset="0"/>
              <a:cs typeface="Arial" pitchFamily="34" charset="0"/>
            </a:rPr>
            <a:t>Elaboró</a:t>
          </a:r>
        </a:p>
        <a:p>
          <a:pPr algn="ctr"/>
          <a:endParaRPr lang="es-MX" sz="1100" b="1">
            <a:latin typeface="Arial" pitchFamily="34" charset="0"/>
            <a:cs typeface="Arial" pitchFamily="34" charset="0"/>
          </a:endParaRPr>
        </a:p>
        <a:p>
          <a:r>
            <a:rPr lang="es-MX" sz="1100">
              <a:latin typeface="Arial" pitchFamily="34" charset="0"/>
              <a:cs typeface="Arial" pitchFamily="34" charset="0"/>
            </a:rPr>
            <a:t> </a:t>
          </a:r>
        </a:p>
        <a:p>
          <a:pPr algn="ctr"/>
          <a:r>
            <a:rPr lang="es-MX" sz="11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C.P. CECILIA MENDOZA FRIAS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SUBGERENTE DE FINANZAS Y CONTROL </a:t>
          </a:r>
        </a:p>
      </xdr:txBody>
    </xdr:sp>
    <xdr:clientData/>
  </xdr:twoCellAnchor>
  <xdr:twoCellAnchor>
    <xdr:from>
      <xdr:col>18</xdr:col>
      <xdr:colOff>291353</xdr:colOff>
      <xdr:row>60</xdr:row>
      <xdr:rowOff>89647</xdr:rowOff>
    </xdr:from>
    <xdr:to>
      <xdr:col>21</xdr:col>
      <xdr:colOff>593912</xdr:colOff>
      <xdr:row>67</xdr:row>
      <xdr:rowOff>44824</xdr:rowOff>
    </xdr:to>
    <xdr:sp macro="" textlink="">
      <xdr:nvSpPr>
        <xdr:cNvPr id="38" name="37 CuadroTexto"/>
        <xdr:cNvSpPr txBox="1"/>
      </xdr:nvSpPr>
      <xdr:spPr>
        <a:xfrm>
          <a:off x="13010029" y="12203206"/>
          <a:ext cx="4022912" cy="10757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latin typeface="Arial" pitchFamily="34" charset="0"/>
              <a:cs typeface="Arial" pitchFamily="34" charset="0"/>
            </a:rPr>
            <a:t>Autorizó:</a:t>
          </a:r>
        </a:p>
        <a:p>
          <a:pPr algn="ctr"/>
          <a:endParaRPr lang="es-MX" sz="1100" b="1">
            <a:latin typeface="Arial" pitchFamily="34" charset="0"/>
            <a:cs typeface="Arial" pitchFamily="34" charset="0"/>
          </a:endParaRPr>
        </a:p>
        <a:p>
          <a:r>
            <a:rPr lang="es-MX" sz="1100">
              <a:latin typeface="Arial" pitchFamily="34" charset="0"/>
              <a:cs typeface="Arial" pitchFamily="34" charset="0"/>
            </a:rPr>
            <a:t> </a:t>
          </a:r>
        </a:p>
        <a:p>
          <a:pPr algn="ctr"/>
          <a:r>
            <a:rPr lang="es-MX" sz="11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______________________________________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LIC. MARIA YSAURA MORENO ALAMINA 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DIRECTORA</a:t>
          </a:r>
          <a:r>
            <a:rPr lang="es-MX" sz="1100" b="1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GENERAL DE FIDERE III</a:t>
          </a:r>
          <a:endParaRPr lang="es-MX" sz="1100" b="1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17</xdr:col>
      <xdr:colOff>3</xdr:colOff>
      <xdr:row>2</xdr:row>
      <xdr:rowOff>0</xdr:rowOff>
    </xdr:from>
    <xdr:to>
      <xdr:col>21</xdr:col>
      <xdr:colOff>1221443</xdr:colOff>
      <xdr:row>5</xdr:row>
      <xdr:rowOff>44823</xdr:rowOff>
    </xdr:to>
    <xdr:pic>
      <xdr:nvPicPr>
        <xdr:cNvPr id="7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2297" y="1154205"/>
          <a:ext cx="5020234" cy="795618"/>
        </a:xfrm>
        <a:prstGeom prst="rect">
          <a:avLst/>
        </a:prstGeom>
      </xdr:spPr>
    </xdr:pic>
    <xdr:clientData/>
  </xdr:twoCellAnchor>
  <xdr:twoCellAnchor>
    <xdr:from>
      <xdr:col>11</xdr:col>
      <xdr:colOff>918882</xdr:colOff>
      <xdr:row>60</xdr:row>
      <xdr:rowOff>145676</xdr:rowOff>
    </xdr:from>
    <xdr:to>
      <xdr:col>15</xdr:col>
      <xdr:colOff>616324</xdr:colOff>
      <xdr:row>67</xdr:row>
      <xdr:rowOff>392206</xdr:rowOff>
    </xdr:to>
    <xdr:sp macro="" textlink="">
      <xdr:nvSpPr>
        <xdr:cNvPr id="2" name="1 CuadroTexto"/>
        <xdr:cNvSpPr txBox="1"/>
      </xdr:nvSpPr>
      <xdr:spPr>
        <a:xfrm>
          <a:off x="7339853" y="12259235"/>
          <a:ext cx="3529853" cy="13671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1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>
            <a:effectLst/>
            <a:latin typeface="Arial" pitchFamily="34" charset="0"/>
            <a:cs typeface="Arial" pitchFamily="34" charset="0"/>
          </a:endParaRPr>
        </a:p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s-MX">
            <a:effectLst/>
          </a:endParaRPr>
        </a:p>
        <a:p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___________________________________________</a:t>
          </a:r>
          <a:endParaRPr lang="es-MX">
            <a:effectLst/>
          </a:endParaRPr>
        </a:p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LIC. ELISA LUGO IPIÑA</a:t>
          </a:r>
        </a:p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GERENTE DE ADMINISTRACIÓN Y FINANZAS</a:t>
          </a:r>
          <a:endParaRPr lang="es-MX">
            <a:effectLst/>
            <a:latin typeface="Arial" pitchFamily="34" charset="0"/>
            <a:cs typeface="Arial" pitchFamily="34" charset="0"/>
          </a:endParaRPr>
        </a:p>
        <a:p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1266824</xdr:colOff>
      <xdr:row>15</xdr:row>
      <xdr:rowOff>228599</xdr:rowOff>
    </xdr:from>
    <xdr:to>
      <xdr:col>4</xdr:col>
      <xdr:colOff>895350</xdr:colOff>
      <xdr:row>20</xdr:row>
      <xdr:rowOff>9524</xdr:rowOff>
    </xdr:to>
    <xdr:sp macro="" textlink="">
      <xdr:nvSpPr>
        <xdr:cNvPr id="7" name="6 CuadroTexto"/>
        <xdr:cNvSpPr txBox="1"/>
      </xdr:nvSpPr>
      <xdr:spPr>
        <a:xfrm>
          <a:off x="2028824" y="3409949"/>
          <a:ext cx="4629151" cy="1304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942975</xdr:colOff>
      <xdr:row>15</xdr:row>
      <xdr:rowOff>266699</xdr:rowOff>
    </xdr:from>
    <xdr:to>
      <xdr:col>13</xdr:col>
      <xdr:colOff>0</xdr:colOff>
      <xdr:row>20</xdr:row>
      <xdr:rowOff>238124</xdr:rowOff>
    </xdr:to>
    <xdr:sp macro="" textlink="">
      <xdr:nvSpPr>
        <xdr:cNvPr id="9" name="8 CuadroTexto"/>
        <xdr:cNvSpPr txBox="1"/>
      </xdr:nvSpPr>
      <xdr:spPr>
        <a:xfrm>
          <a:off x="12134850" y="3448049"/>
          <a:ext cx="3352800" cy="1495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 b="1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</a:t>
          </a:r>
          <a:r>
            <a:rPr lang="es-MX" sz="1050" b="1" baseline="0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YSAURA MORENO ALAMINA</a:t>
          </a:r>
          <a:endParaRPr lang="es-MX" sz="105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 editAs="oneCell">
    <xdr:from>
      <xdr:col>7</xdr:col>
      <xdr:colOff>1028700</xdr:colOff>
      <xdr:row>1</xdr:row>
      <xdr:rowOff>180974</xdr:rowOff>
    </xdr:from>
    <xdr:to>
      <xdr:col>13</xdr:col>
      <xdr:colOff>390525</xdr:colOff>
      <xdr:row>4</xdr:row>
      <xdr:rowOff>47624</xdr:rowOff>
    </xdr:to>
    <xdr:pic>
      <xdr:nvPicPr>
        <xdr:cNvPr id="5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0" y="342899"/>
          <a:ext cx="5848350" cy="504825"/>
        </a:xfrm>
        <a:prstGeom prst="rect">
          <a:avLst/>
        </a:prstGeom>
      </xdr:spPr>
    </xdr:pic>
    <xdr:clientData/>
  </xdr:twoCellAnchor>
  <xdr:twoCellAnchor>
    <xdr:from>
      <xdr:col>5</xdr:col>
      <xdr:colOff>266700</xdr:colOff>
      <xdr:row>15</xdr:row>
      <xdr:rowOff>276225</xdr:rowOff>
    </xdr:from>
    <xdr:to>
      <xdr:col>9</xdr:col>
      <xdr:colOff>180975</xdr:colOff>
      <xdr:row>20</xdr:row>
      <xdr:rowOff>304800</xdr:rowOff>
    </xdr:to>
    <xdr:sp macro="" textlink="">
      <xdr:nvSpPr>
        <xdr:cNvPr id="10" name="9 CuadroTexto"/>
        <xdr:cNvSpPr txBox="1"/>
      </xdr:nvSpPr>
      <xdr:spPr>
        <a:xfrm>
          <a:off x="7353300" y="4191000"/>
          <a:ext cx="4133850" cy="1704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ELISA LUGO IPIÑA</a:t>
          </a:r>
          <a:endParaRPr lang="es-MX" sz="1050">
            <a:effectLst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GERENTE  DE ADMINISTRACIÓN Y FINANZAS</a:t>
          </a:r>
          <a:endParaRPr lang="es-MX" sz="1050">
            <a:effectLst/>
          </a:endParaRPr>
        </a:p>
        <a:p>
          <a:endParaRPr lang="es-MX" sz="9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635000</xdr:colOff>
      <xdr:row>52</xdr:row>
      <xdr:rowOff>101600</xdr:rowOff>
    </xdr:from>
    <xdr:to>
      <xdr:col>7</xdr:col>
      <xdr:colOff>889000</xdr:colOff>
      <xdr:row>62</xdr:row>
      <xdr:rowOff>88900</xdr:rowOff>
    </xdr:to>
    <xdr:sp macro="" textlink="">
      <xdr:nvSpPr>
        <xdr:cNvPr id="17" name="16 CuadroTexto"/>
        <xdr:cNvSpPr txBox="1"/>
      </xdr:nvSpPr>
      <xdr:spPr>
        <a:xfrm>
          <a:off x="2222500" y="10883900"/>
          <a:ext cx="4470400" cy="1752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y Revisó: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</a:t>
          </a:r>
          <a:r>
            <a:rPr lang="es-MX" sz="1050" b="1" baseline="0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CECILIA MENDOZA FRIAS</a:t>
          </a:r>
          <a:endParaRPr lang="es-MX" sz="105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6362700</xdr:colOff>
      <xdr:row>52</xdr:row>
      <xdr:rowOff>88900</xdr:rowOff>
    </xdr:from>
    <xdr:to>
      <xdr:col>8</xdr:col>
      <xdr:colOff>3048000</xdr:colOff>
      <xdr:row>61</xdr:row>
      <xdr:rowOff>127000</xdr:rowOff>
    </xdr:to>
    <xdr:sp macro="" textlink="">
      <xdr:nvSpPr>
        <xdr:cNvPr id="19" name="18 CuadroTexto"/>
        <xdr:cNvSpPr txBox="1"/>
      </xdr:nvSpPr>
      <xdr:spPr>
        <a:xfrm>
          <a:off x="12166600" y="10871200"/>
          <a:ext cx="4216400" cy="151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 FIDERE III</a:t>
          </a:r>
        </a:p>
      </xdr:txBody>
    </xdr:sp>
    <xdr:clientData/>
  </xdr:twoCellAnchor>
  <xdr:twoCellAnchor editAs="oneCell">
    <xdr:from>
      <xdr:col>7</xdr:col>
      <xdr:colOff>5207000</xdr:colOff>
      <xdr:row>2</xdr:row>
      <xdr:rowOff>101600</xdr:rowOff>
    </xdr:from>
    <xdr:to>
      <xdr:col>8</xdr:col>
      <xdr:colOff>3864610</xdr:colOff>
      <xdr:row>4</xdr:row>
      <xdr:rowOff>38100</xdr:rowOff>
    </xdr:to>
    <xdr:pic>
      <xdr:nvPicPr>
        <xdr:cNvPr id="5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381000"/>
          <a:ext cx="6188710" cy="596900"/>
        </a:xfrm>
        <a:prstGeom prst="rect">
          <a:avLst/>
        </a:prstGeom>
      </xdr:spPr>
    </xdr:pic>
    <xdr:clientData/>
  </xdr:twoCellAnchor>
  <xdr:twoCellAnchor>
    <xdr:from>
      <xdr:col>7</xdr:col>
      <xdr:colOff>1714500</xdr:colOff>
      <xdr:row>52</xdr:row>
      <xdr:rowOff>88900</xdr:rowOff>
    </xdr:from>
    <xdr:to>
      <xdr:col>7</xdr:col>
      <xdr:colOff>5575300</xdr:colOff>
      <xdr:row>61</xdr:row>
      <xdr:rowOff>279400</xdr:rowOff>
    </xdr:to>
    <xdr:sp macro="" textlink="">
      <xdr:nvSpPr>
        <xdr:cNvPr id="7" name="6 CuadroTexto"/>
        <xdr:cNvSpPr txBox="1"/>
      </xdr:nvSpPr>
      <xdr:spPr>
        <a:xfrm>
          <a:off x="7518400" y="10871200"/>
          <a:ext cx="3860800" cy="1663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LIC. ELISA LUGO IPIÑA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GERENTE  DE ADMINISTRACIÓN Y FINANZAS</a:t>
          </a:r>
        </a:p>
        <a:p>
          <a:endParaRPr lang="es-MX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1809750</xdr:colOff>
      <xdr:row>54</xdr:row>
      <xdr:rowOff>0</xdr:rowOff>
    </xdr:from>
    <xdr:to>
      <xdr:col>7</xdr:col>
      <xdr:colOff>81643</xdr:colOff>
      <xdr:row>63</xdr:row>
      <xdr:rowOff>68036</xdr:rowOff>
    </xdr:to>
    <xdr:sp macro="" textlink="">
      <xdr:nvSpPr>
        <xdr:cNvPr id="8" name="7 CuadroTexto"/>
        <xdr:cNvSpPr txBox="1"/>
      </xdr:nvSpPr>
      <xdr:spPr>
        <a:xfrm>
          <a:off x="2626179" y="13035643"/>
          <a:ext cx="3483428" cy="15376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884464</xdr:colOff>
      <xdr:row>54</xdr:row>
      <xdr:rowOff>76200</xdr:rowOff>
    </xdr:from>
    <xdr:to>
      <xdr:col>17</xdr:col>
      <xdr:colOff>285749</xdr:colOff>
      <xdr:row>63</xdr:row>
      <xdr:rowOff>27215</xdr:rowOff>
    </xdr:to>
    <xdr:sp macro="" textlink="">
      <xdr:nvSpPr>
        <xdr:cNvPr id="10" name="9 CuadroTexto"/>
        <xdr:cNvSpPr txBox="1"/>
      </xdr:nvSpPr>
      <xdr:spPr>
        <a:xfrm>
          <a:off x="14015357" y="13111843"/>
          <a:ext cx="4136571" cy="1420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  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 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 editAs="oneCell">
    <xdr:from>
      <xdr:col>12</xdr:col>
      <xdr:colOff>1110343</xdr:colOff>
      <xdr:row>3</xdr:row>
      <xdr:rowOff>126547</xdr:rowOff>
    </xdr:from>
    <xdr:to>
      <xdr:col>17</xdr:col>
      <xdr:colOff>1172210</xdr:colOff>
      <xdr:row>6</xdr:row>
      <xdr:rowOff>15029</xdr:rowOff>
    </xdr:to>
    <xdr:pic>
      <xdr:nvPicPr>
        <xdr:cNvPr id="5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57414" y="725261"/>
          <a:ext cx="5980975" cy="936232"/>
        </a:xfrm>
        <a:prstGeom prst="rect">
          <a:avLst/>
        </a:prstGeom>
      </xdr:spPr>
    </xdr:pic>
    <xdr:clientData/>
  </xdr:twoCellAnchor>
  <xdr:twoCellAnchor>
    <xdr:from>
      <xdr:col>8</xdr:col>
      <xdr:colOff>857251</xdr:colOff>
      <xdr:row>53</xdr:row>
      <xdr:rowOff>163285</xdr:rowOff>
    </xdr:from>
    <xdr:to>
      <xdr:col>12</xdr:col>
      <xdr:colOff>394608</xdr:colOff>
      <xdr:row>63</xdr:row>
      <xdr:rowOff>530679</xdr:rowOff>
    </xdr:to>
    <xdr:sp macro="" textlink="">
      <xdr:nvSpPr>
        <xdr:cNvPr id="6" name="5 CuadroTexto"/>
        <xdr:cNvSpPr txBox="1"/>
      </xdr:nvSpPr>
      <xdr:spPr>
        <a:xfrm>
          <a:off x="8069037" y="13321392"/>
          <a:ext cx="4272642" cy="20682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ELISA LUGO IPIÑA</a:t>
          </a:r>
          <a:endParaRPr lang="es-MX" sz="1050">
            <a:effectLst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GERENTE  DE ADMINISTRACIÓN Y FINANZAS</a:t>
          </a:r>
          <a:endParaRPr lang="es-MX" sz="1050">
            <a:effectLst/>
          </a:endParaRPr>
        </a:p>
        <a:p>
          <a:endParaRPr lang="es-MX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1809750</xdr:colOff>
      <xdr:row>55</xdr:row>
      <xdr:rowOff>0</xdr:rowOff>
    </xdr:from>
    <xdr:to>
      <xdr:col>7</xdr:col>
      <xdr:colOff>81643</xdr:colOff>
      <xdr:row>64</xdr:row>
      <xdr:rowOff>68036</xdr:rowOff>
    </xdr:to>
    <xdr:sp macro="" textlink="">
      <xdr:nvSpPr>
        <xdr:cNvPr id="2" name="1 CuadroTexto"/>
        <xdr:cNvSpPr txBox="1"/>
      </xdr:nvSpPr>
      <xdr:spPr>
        <a:xfrm>
          <a:off x="2609850" y="13363575"/>
          <a:ext cx="3482068" cy="15253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884464</xdr:colOff>
      <xdr:row>55</xdr:row>
      <xdr:rowOff>76200</xdr:rowOff>
    </xdr:from>
    <xdr:to>
      <xdr:col>17</xdr:col>
      <xdr:colOff>285749</xdr:colOff>
      <xdr:row>64</xdr:row>
      <xdr:rowOff>27215</xdr:rowOff>
    </xdr:to>
    <xdr:sp macro="" textlink="">
      <xdr:nvSpPr>
        <xdr:cNvPr id="3" name="2 CuadroTexto"/>
        <xdr:cNvSpPr txBox="1"/>
      </xdr:nvSpPr>
      <xdr:spPr>
        <a:xfrm>
          <a:off x="13981339" y="13439775"/>
          <a:ext cx="4125685" cy="1408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  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 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 editAs="oneCell">
    <xdr:from>
      <xdr:col>12</xdr:col>
      <xdr:colOff>1110343</xdr:colOff>
      <xdr:row>3</xdr:row>
      <xdr:rowOff>126547</xdr:rowOff>
    </xdr:from>
    <xdr:to>
      <xdr:col>17</xdr:col>
      <xdr:colOff>1172210</xdr:colOff>
      <xdr:row>6</xdr:row>
      <xdr:rowOff>15029</xdr:rowOff>
    </xdr:to>
    <xdr:pic>
      <xdr:nvPicPr>
        <xdr:cNvPr id="4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6118" y="726622"/>
          <a:ext cx="5967367" cy="945757"/>
        </a:xfrm>
        <a:prstGeom prst="rect">
          <a:avLst/>
        </a:prstGeom>
      </xdr:spPr>
    </xdr:pic>
    <xdr:clientData/>
  </xdr:twoCellAnchor>
  <xdr:twoCellAnchor>
    <xdr:from>
      <xdr:col>8</xdr:col>
      <xdr:colOff>857250</xdr:colOff>
      <xdr:row>55</xdr:row>
      <xdr:rowOff>0</xdr:rowOff>
    </xdr:from>
    <xdr:to>
      <xdr:col>12</xdr:col>
      <xdr:colOff>149678</xdr:colOff>
      <xdr:row>64</xdr:row>
      <xdr:rowOff>149679</xdr:rowOff>
    </xdr:to>
    <xdr:sp macro="" textlink="">
      <xdr:nvSpPr>
        <xdr:cNvPr id="5" name="4 CuadroTexto"/>
        <xdr:cNvSpPr txBox="1"/>
      </xdr:nvSpPr>
      <xdr:spPr>
        <a:xfrm>
          <a:off x="8069036" y="13321393"/>
          <a:ext cx="4027713" cy="16736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LIC. ELISA LUGO IPIÑA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GERENTE  DE ADMINISTRACIÓN Y FINANZAS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  <a:p>
          <a:endParaRPr lang="es-MX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707572</xdr:colOff>
      <xdr:row>2</xdr:row>
      <xdr:rowOff>193220</xdr:rowOff>
    </xdr:from>
    <xdr:to>
      <xdr:col>17</xdr:col>
      <xdr:colOff>1099458</xdr:colOff>
      <xdr:row>4</xdr:row>
      <xdr:rowOff>119802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9022" y="517070"/>
          <a:ext cx="5944961" cy="907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W68"/>
  <sheetViews>
    <sheetView showGridLines="0" tabSelected="1" view="pageBreakPreview" topLeftCell="E46" zoomScale="85" zoomScaleSheetLayoutView="85" workbookViewId="0">
      <selection activeCell="T85" sqref="T85"/>
    </sheetView>
  </sheetViews>
  <sheetFormatPr baseColWidth="10" defaultRowHeight="12.75"/>
  <cols>
    <col min="1" max="1" width="11.85546875" style="94" hidden="1" customWidth="1"/>
    <col min="2" max="2" width="4" style="94" hidden="1" customWidth="1"/>
    <col min="3" max="4" width="2.85546875" style="1" hidden="1" customWidth="1"/>
    <col min="5" max="7" width="2.85546875" style="1" customWidth="1"/>
    <col min="8" max="8" width="48.140625" style="1" customWidth="1"/>
    <col min="9" max="9" width="1.140625" style="88" customWidth="1"/>
    <col min="10" max="10" width="19.85546875" style="1" customWidth="1"/>
    <col min="11" max="11" width="18.7109375" style="1" customWidth="1"/>
    <col min="12" max="12" width="20.42578125" style="1" customWidth="1"/>
    <col min="13" max="13" width="1.140625" style="88" customWidth="1"/>
    <col min="14" max="14" width="18.28515625" style="1" customWidth="1"/>
    <col min="15" max="15" width="19.140625" style="1" customWidth="1"/>
    <col min="16" max="17" width="18.28515625" style="1" customWidth="1"/>
    <col min="18" max="18" width="1.140625" style="88" customWidth="1"/>
    <col min="19" max="20" width="18.5703125" style="1" customWidth="1"/>
    <col min="21" max="21" width="18.42578125" style="1" customWidth="1"/>
    <col min="22" max="22" width="19.140625" style="1" customWidth="1"/>
    <col min="23" max="23" width="11.42578125" style="1"/>
    <col min="24" max="24" width="1.140625" style="1" customWidth="1"/>
    <col min="25" max="16384" width="11.42578125" style="1"/>
  </cols>
  <sheetData>
    <row r="2" spans="1:23" ht="14.25">
      <c r="A2" s="93"/>
      <c r="H2" s="17"/>
      <c r="J2" s="17"/>
      <c r="K2" s="17"/>
      <c r="L2" s="18"/>
      <c r="N2" s="18"/>
      <c r="O2" s="18"/>
      <c r="P2" s="18"/>
      <c r="Q2" s="18"/>
      <c r="S2" s="18"/>
      <c r="T2" s="18"/>
      <c r="U2" s="18"/>
      <c r="V2" s="18"/>
    </row>
    <row r="3" spans="1:23" ht="19.5">
      <c r="A3" s="93"/>
      <c r="H3" s="3" t="s">
        <v>125</v>
      </c>
      <c r="J3" s="20"/>
      <c r="K3" s="18"/>
      <c r="L3" s="21"/>
      <c r="N3" s="21"/>
      <c r="O3" s="18"/>
      <c r="P3" s="18"/>
      <c r="Q3" s="18"/>
      <c r="S3" s="18"/>
      <c r="T3" s="248"/>
      <c r="U3" s="248"/>
      <c r="V3" s="248"/>
    </row>
    <row r="4" spans="1:23" ht="15">
      <c r="A4" s="93"/>
      <c r="H4" s="3" t="s">
        <v>112</v>
      </c>
      <c r="J4" s="20"/>
      <c r="K4" s="18"/>
      <c r="L4" s="18"/>
      <c r="N4" s="18"/>
      <c r="O4" s="18"/>
      <c r="P4" s="18"/>
      <c r="Q4" s="18"/>
      <c r="S4" s="18"/>
      <c r="T4" s="18"/>
      <c r="U4" s="18"/>
      <c r="V4" s="18"/>
    </row>
    <row r="5" spans="1:23" ht="24.75" customHeight="1">
      <c r="A5" s="93"/>
      <c r="H5" s="3" t="s">
        <v>73</v>
      </c>
      <c r="J5" s="22"/>
      <c r="K5" s="19"/>
      <c r="L5" s="18"/>
      <c r="N5" s="18"/>
      <c r="O5" s="18"/>
      <c r="P5" s="18"/>
      <c r="Q5" s="18"/>
      <c r="S5" s="18"/>
      <c r="T5" s="18"/>
      <c r="U5" s="18"/>
      <c r="V5" s="18"/>
    </row>
    <row r="6" spans="1:23" ht="24.75" customHeight="1">
      <c r="A6" s="93"/>
      <c r="H6" s="3" t="s">
        <v>74</v>
      </c>
      <c r="J6" s="22"/>
      <c r="K6" s="19"/>
      <c r="L6" s="18"/>
      <c r="N6" s="18"/>
      <c r="O6" s="18"/>
      <c r="P6" s="18"/>
      <c r="Q6" s="18"/>
      <c r="S6" s="18"/>
      <c r="T6" s="18"/>
      <c r="U6" s="18"/>
      <c r="V6" s="18"/>
    </row>
    <row r="7" spans="1:23" ht="24.75" customHeight="1">
      <c r="A7" s="93"/>
      <c r="H7" s="3"/>
      <c r="I7" s="218"/>
      <c r="J7" s="121"/>
      <c r="K7" s="122"/>
      <c r="L7" s="123"/>
      <c r="M7" s="218"/>
      <c r="N7" s="123"/>
      <c r="O7" s="123"/>
      <c r="P7" s="123"/>
      <c r="Q7" s="123"/>
      <c r="R7" s="218"/>
      <c r="S7" s="123"/>
      <c r="T7" s="123"/>
      <c r="U7" s="181" t="s">
        <v>56</v>
      </c>
      <c r="V7" s="123"/>
    </row>
    <row r="8" spans="1:23" s="23" customFormat="1" ht="12.75" customHeight="1">
      <c r="A8" s="93" t="s">
        <v>0</v>
      </c>
      <c r="B8" s="95"/>
      <c r="H8" s="130" t="s">
        <v>104</v>
      </c>
      <c r="I8" s="50"/>
      <c r="J8" s="246" t="s">
        <v>78</v>
      </c>
      <c r="K8" s="246"/>
      <c r="L8" s="246"/>
      <c r="M8" s="50"/>
      <c r="N8" s="246" t="s">
        <v>76</v>
      </c>
      <c r="O8" s="246"/>
      <c r="P8" s="246"/>
      <c r="Q8" s="246"/>
      <c r="R8" s="50"/>
      <c r="S8" s="246" t="s">
        <v>79</v>
      </c>
      <c r="T8" s="246"/>
      <c r="U8" s="246"/>
      <c r="V8" s="246"/>
    </row>
    <row r="9" spans="1:23" s="25" customFormat="1" ht="27.75" customHeight="1">
      <c r="A9" s="93" t="s">
        <v>1</v>
      </c>
      <c r="B9" s="94"/>
      <c r="C9" s="1"/>
      <c r="D9" s="1"/>
      <c r="E9" s="1"/>
      <c r="F9" s="1"/>
      <c r="H9" s="24" t="s">
        <v>138</v>
      </c>
      <c r="I9" s="50"/>
      <c r="J9" s="247"/>
      <c r="K9" s="247"/>
      <c r="L9" s="247"/>
      <c r="M9" s="50"/>
      <c r="N9" s="247"/>
      <c r="O9" s="247"/>
      <c r="P9" s="247"/>
      <c r="Q9" s="247"/>
      <c r="R9" s="50"/>
      <c r="S9" s="247"/>
      <c r="T9" s="247"/>
      <c r="U9" s="247"/>
      <c r="V9" s="247"/>
      <c r="W9" s="28"/>
    </row>
    <row r="10" spans="1:23" s="30" customFormat="1" ht="15" customHeight="1">
      <c r="A10" s="93" t="s">
        <v>2</v>
      </c>
      <c r="B10" s="93"/>
      <c r="C10" s="29"/>
      <c r="D10" s="29"/>
      <c r="E10" s="29"/>
      <c r="F10" s="29"/>
      <c r="H10" s="243" t="s">
        <v>80</v>
      </c>
      <c r="I10" s="50"/>
      <c r="J10" s="31">
        <v>2014</v>
      </c>
      <c r="K10" s="241">
        <v>2015</v>
      </c>
      <c r="L10" s="242"/>
      <c r="M10" s="50"/>
      <c r="N10" s="32">
        <v>2014</v>
      </c>
      <c r="O10" s="241">
        <v>2015</v>
      </c>
      <c r="P10" s="259"/>
      <c r="Q10" s="259"/>
      <c r="R10" s="50"/>
      <c r="S10" s="32">
        <v>2014</v>
      </c>
      <c r="T10" s="241">
        <v>2015</v>
      </c>
      <c r="U10" s="259"/>
      <c r="V10" s="259"/>
    </row>
    <row r="11" spans="1:23" s="25" customFormat="1" ht="15" customHeight="1">
      <c r="A11" s="93" t="s">
        <v>3</v>
      </c>
      <c r="B11" s="94"/>
      <c r="C11" s="1"/>
      <c r="D11" s="1"/>
      <c r="E11" s="1"/>
      <c r="F11" s="1"/>
      <c r="H11" s="244"/>
      <c r="I11" s="50"/>
      <c r="J11" s="249" t="s">
        <v>81</v>
      </c>
      <c r="K11" s="251" t="s">
        <v>82</v>
      </c>
      <c r="L11" s="253" t="s">
        <v>83</v>
      </c>
      <c r="M11" s="223"/>
      <c r="N11" s="257" t="s">
        <v>81</v>
      </c>
      <c r="O11" s="255" t="s">
        <v>84</v>
      </c>
      <c r="P11" s="256"/>
      <c r="Q11" s="184" t="s">
        <v>81</v>
      </c>
      <c r="R11" s="186"/>
      <c r="S11" s="257" t="s">
        <v>81</v>
      </c>
      <c r="T11" s="255" t="s">
        <v>84</v>
      </c>
      <c r="U11" s="256"/>
      <c r="V11" s="253" t="s">
        <v>81</v>
      </c>
    </row>
    <row r="12" spans="1:23" s="25" customFormat="1" ht="24.75" customHeight="1">
      <c r="A12" s="93" t="s">
        <v>4</v>
      </c>
      <c r="B12" s="94"/>
      <c r="C12" s="1"/>
      <c r="D12" s="1"/>
      <c r="E12" s="1"/>
      <c r="F12" s="1"/>
      <c r="H12" s="245"/>
      <c r="I12" s="50"/>
      <c r="J12" s="250"/>
      <c r="K12" s="252"/>
      <c r="L12" s="254"/>
      <c r="M12" s="186"/>
      <c r="N12" s="258"/>
      <c r="O12" s="182" t="s">
        <v>85</v>
      </c>
      <c r="P12" s="183" t="s">
        <v>86</v>
      </c>
      <c r="Q12" s="185" t="s">
        <v>87</v>
      </c>
      <c r="R12" s="186"/>
      <c r="S12" s="258"/>
      <c r="T12" s="182" t="s">
        <v>85</v>
      </c>
      <c r="U12" s="187" t="s">
        <v>86</v>
      </c>
      <c r="V12" s="254"/>
    </row>
    <row r="13" spans="1:23" s="25" customFormat="1" ht="7.5" customHeight="1">
      <c r="A13" s="93" t="s">
        <v>5</v>
      </c>
      <c r="B13" s="94"/>
      <c r="C13" s="1"/>
      <c r="D13" s="1"/>
      <c r="E13" s="1"/>
      <c r="F13" s="1"/>
      <c r="H13" s="33"/>
      <c r="I13" s="50"/>
      <c r="J13" s="26"/>
      <c r="K13" s="27"/>
      <c r="L13" s="27"/>
      <c r="M13" s="50"/>
      <c r="N13" s="27"/>
      <c r="O13" s="27"/>
      <c r="P13" s="27"/>
      <c r="Q13" s="27"/>
      <c r="R13" s="50"/>
      <c r="S13" s="27"/>
      <c r="T13" s="27"/>
      <c r="U13" s="27"/>
      <c r="V13" s="27"/>
      <c r="W13" s="28"/>
    </row>
    <row r="14" spans="1:23" s="16" customFormat="1" ht="14.25">
      <c r="A14" s="93" t="s">
        <v>6</v>
      </c>
      <c r="B14" s="96"/>
      <c r="H14" s="34"/>
      <c r="I14" s="219"/>
      <c r="J14" s="35"/>
      <c r="K14" s="36"/>
      <c r="L14" s="36"/>
      <c r="M14" s="219"/>
      <c r="N14" s="36"/>
      <c r="O14" s="36"/>
      <c r="P14" s="36"/>
      <c r="Q14" s="36"/>
      <c r="R14" s="219"/>
      <c r="S14" s="36"/>
      <c r="T14" s="36"/>
      <c r="U14" s="36"/>
      <c r="V14" s="36"/>
      <c r="W14" s="91"/>
    </row>
    <row r="15" spans="1:23" s="37" customFormat="1" ht="21.75" customHeight="1">
      <c r="A15" s="93" t="s">
        <v>7</v>
      </c>
      <c r="B15" s="96"/>
      <c r="C15" s="16"/>
      <c r="D15" s="16"/>
      <c r="E15" s="16"/>
      <c r="F15" s="16"/>
      <c r="H15" s="38" t="s">
        <v>88</v>
      </c>
      <c r="I15" s="101"/>
      <c r="J15" s="39">
        <f>+J17+J53</f>
        <v>77099271.669999987</v>
      </c>
      <c r="K15" s="39">
        <f>+K17+K53</f>
        <v>83009201</v>
      </c>
      <c r="L15" s="39">
        <f>+L17+L53</f>
        <v>83080103.569999993</v>
      </c>
      <c r="M15" s="101">
        <v>0</v>
      </c>
      <c r="N15" s="39">
        <f>+N17+N53</f>
        <v>5958834.7000000002</v>
      </c>
      <c r="O15" s="39">
        <f>+O17+O53</f>
        <v>6648346</v>
      </c>
      <c r="P15" s="39">
        <f>+P17+P53</f>
        <v>6648346</v>
      </c>
      <c r="Q15" s="39">
        <f>+Q17+Q53</f>
        <v>6266066.709999999</v>
      </c>
      <c r="R15" s="101"/>
      <c r="S15" s="39">
        <f>+S17+S53</f>
        <v>33478869.09</v>
      </c>
      <c r="T15" s="39">
        <f>+T17+T53</f>
        <v>38497424</v>
      </c>
      <c r="U15" s="39">
        <f>+U17+U53</f>
        <v>38568326.57</v>
      </c>
      <c r="V15" s="39">
        <f>+V17+V53</f>
        <v>38744869.689999998</v>
      </c>
    </row>
    <row r="16" spans="1:23" s="16" customFormat="1" ht="9" customHeight="1">
      <c r="A16" s="93" t="s">
        <v>8</v>
      </c>
      <c r="B16" s="96"/>
      <c r="H16" s="40"/>
      <c r="I16" s="101"/>
      <c r="J16" s="41"/>
      <c r="K16" s="99"/>
      <c r="L16" s="99"/>
      <c r="M16" s="101"/>
      <c r="N16" s="41"/>
      <c r="O16" s="99"/>
      <c r="P16" s="99"/>
      <c r="Q16" s="99"/>
      <c r="R16" s="101"/>
      <c r="S16" s="41"/>
      <c r="T16" s="99"/>
      <c r="U16" s="99"/>
      <c r="V16" s="99"/>
    </row>
    <row r="17" spans="1:22" s="43" customFormat="1" ht="21.75" customHeight="1">
      <c r="A17" s="93" t="s">
        <v>9</v>
      </c>
      <c r="B17" s="97"/>
      <c r="C17" s="42"/>
      <c r="D17" s="42"/>
      <c r="E17" s="42"/>
      <c r="F17" s="42"/>
      <c r="H17" s="44" t="s">
        <v>89</v>
      </c>
      <c r="I17" s="101"/>
      <c r="J17" s="39">
        <f>+J19+J43+J50</f>
        <v>77099271.669999987</v>
      </c>
      <c r="K17" s="39">
        <f>+K19+K43+K50</f>
        <v>83009201</v>
      </c>
      <c r="L17" s="39">
        <f>+L19+L43+L50</f>
        <v>83080103.569999993</v>
      </c>
      <c r="M17" s="51">
        <f t="shared" ref="M17:R17" si="0">+M19+M43+M50</f>
        <v>0</v>
      </c>
      <c r="N17" s="39">
        <f t="shared" si="0"/>
        <v>5958834.7000000002</v>
      </c>
      <c r="O17" s="39">
        <f t="shared" si="0"/>
        <v>6648346</v>
      </c>
      <c r="P17" s="39">
        <f>+P19+P43+P50</f>
        <v>6648346</v>
      </c>
      <c r="Q17" s="39">
        <f t="shared" si="0"/>
        <v>6266066.709999999</v>
      </c>
      <c r="R17" s="51">
        <f t="shared" si="0"/>
        <v>0</v>
      </c>
      <c r="S17" s="39">
        <f t="shared" ref="S17:V17" si="1">+S19+S43+S50</f>
        <v>33478869.09</v>
      </c>
      <c r="T17" s="39">
        <f t="shared" si="1"/>
        <v>38497424</v>
      </c>
      <c r="U17" s="39">
        <f t="shared" si="1"/>
        <v>38568326.57</v>
      </c>
      <c r="V17" s="39">
        <f t="shared" si="1"/>
        <v>38744869.689999998</v>
      </c>
    </row>
    <row r="18" spans="1:22" s="16" customFormat="1" ht="9" customHeight="1">
      <c r="A18" s="93" t="s">
        <v>10</v>
      </c>
      <c r="B18" s="96"/>
      <c r="H18" s="40"/>
      <c r="I18" s="101"/>
      <c r="J18" s="41"/>
      <c r="K18" s="99"/>
      <c r="L18" s="99"/>
      <c r="M18" s="101"/>
      <c r="N18" s="41"/>
      <c r="O18" s="99"/>
      <c r="P18" s="99"/>
      <c r="Q18" s="99"/>
      <c r="R18" s="101"/>
      <c r="S18" s="41"/>
      <c r="T18" s="99"/>
      <c r="U18" s="99"/>
      <c r="V18" s="99"/>
    </row>
    <row r="19" spans="1:22" s="43" customFormat="1" ht="21.75" customHeight="1">
      <c r="A19" s="93" t="s">
        <v>11</v>
      </c>
      <c r="B19" s="97"/>
      <c r="C19" s="42"/>
      <c r="D19" s="42"/>
      <c r="E19" s="42"/>
      <c r="F19" s="42"/>
      <c r="H19" s="45" t="s">
        <v>90</v>
      </c>
      <c r="I19" s="101"/>
      <c r="J19" s="39">
        <f>SUM(J20,J22,J28,J31,J35)</f>
        <v>63786657.599999994</v>
      </c>
      <c r="K19" s="39">
        <f>SUM(K20,K22,K28,K31,K35)</f>
        <v>55356918</v>
      </c>
      <c r="L19" s="39">
        <f>SUM(L20,L22,L28,L31,L35)</f>
        <v>55427820.57</v>
      </c>
      <c r="M19" s="51"/>
      <c r="N19" s="39">
        <f t="shared" ref="N19:R19" si="2">SUM(N20,N22,N28,N31,N35)</f>
        <v>5542167.7000000002</v>
      </c>
      <c r="O19" s="39">
        <f t="shared" si="2"/>
        <v>4437813</v>
      </c>
      <c r="P19" s="39">
        <f>SUM(P20,P22,P28,P31,P35)</f>
        <v>4437813</v>
      </c>
      <c r="Q19" s="39">
        <f t="shared" si="2"/>
        <v>4055533.7099999995</v>
      </c>
      <c r="R19" s="51">
        <f t="shared" si="2"/>
        <v>0</v>
      </c>
      <c r="S19" s="39">
        <f t="shared" ref="S19:V19" si="3">SUM(S20,S22,S28,S31,S35)</f>
        <v>30978869.09</v>
      </c>
      <c r="T19" s="39">
        <f t="shared" si="3"/>
        <v>27494759</v>
      </c>
      <c r="U19" s="39">
        <f t="shared" si="3"/>
        <v>27565661.57</v>
      </c>
      <c r="V19" s="39">
        <f t="shared" si="3"/>
        <v>27742204.690000001</v>
      </c>
    </row>
    <row r="20" spans="1:22" s="46" customFormat="1" ht="14.25">
      <c r="A20" s="93"/>
      <c r="B20" s="94"/>
      <c r="C20" s="1"/>
      <c r="D20" s="1"/>
      <c r="E20" s="1"/>
      <c r="F20" s="1"/>
      <c r="H20" s="47" t="s">
        <v>14</v>
      </c>
      <c r="I20" s="101"/>
      <c r="J20" s="100">
        <v>0</v>
      </c>
      <c r="K20" s="100">
        <f>'SPF-C01'!R16</f>
        <v>0</v>
      </c>
      <c r="L20" s="100">
        <f>'SPF-C01'!S16</f>
        <v>0</v>
      </c>
      <c r="M20" s="101"/>
      <c r="N20" s="100">
        <v>0</v>
      </c>
      <c r="O20" s="100">
        <f t="array" ref="O20">SUM(IF($H$9='SPF-C01'!$F$12:$Q$12,'SPF-C01'!F16:Q16,0))</f>
        <v>0</v>
      </c>
      <c r="P20" s="100">
        <v>0</v>
      </c>
      <c r="Q20" s="100">
        <v>0</v>
      </c>
      <c r="R20" s="101"/>
      <c r="S20" s="100">
        <v>0</v>
      </c>
      <c r="T20" s="100">
        <f t="array" ref="T20">SUM(IF($H$9='SPF-C01'!$F$12:$Q$12,'SPF-C01'!K16:V16,0))</f>
        <v>0</v>
      </c>
      <c r="U20" s="100">
        <v>0</v>
      </c>
      <c r="V20" s="100">
        <v>0</v>
      </c>
    </row>
    <row r="21" spans="1:22" s="46" customFormat="1" ht="14.25">
      <c r="A21" s="94"/>
      <c r="B21" s="94"/>
      <c r="C21" s="1"/>
      <c r="D21" s="1"/>
      <c r="E21" s="1"/>
      <c r="F21" s="1"/>
      <c r="H21" s="47"/>
      <c r="I21" s="101"/>
      <c r="J21" s="100"/>
      <c r="K21" s="100"/>
      <c r="L21" s="100"/>
      <c r="M21" s="101"/>
      <c r="N21" s="100"/>
      <c r="O21" s="100"/>
      <c r="P21" s="100"/>
      <c r="Q21" s="100"/>
      <c r="R21" s="101"/>
      <c r="S21" s="100"/>
      <c r="T21" s="100"/>
      <c r="U21" s="100"/>
      <c r="V21" s="100"/>
    </row>
    <row r="22" spans="1:22" s="46" customFormat="1" ht="14.25">
      <c r="A22" s="94"/>
      <c r="B22" s="94"/>
      <c r="C22" s="1"/>
      <c r="D22" s="1"/>
      <c r="E22" s="1"/>
      <c r="F22" s="1"/>
      <c r="H22" s="47" t="s">
        <v>15</v>
      </c>
      <c r="I22" s="101"/>
      <c r="J22" s="99">
        <f>+J23+J24+J25+J26</f>
        <v>54594176.579999998</v>
      </c>
      <c r="K22" s="99">
        <f>+K23+K24+K25+K26</f>
        <v>53164640</v>
      </c>
      <c r="L22" s="99">
        <f>+L23+L24+L25+L26</f>
        <v>53164640</v>
      </c>
      <c r="M22" s="224"/>
      <c r="N22" s="99">
        <f>+N23+N24+N25+N26</f>
        <v>4322112.29</v>
      </c>
      <c r="O22" s="99">
        <f>+O23+O24+O25+O26</f>
        <v>4265840</v>
      </c>
      <c r="P22" s="99">
        <f>+P23+P24+P25+P26</f>
        <v>4265840</v>
      </c>
      <c r="Q22" s="99">
        <f>+Q23+Q24+Q25+Q26</f>
        <v>3893596.8999999994</v>
      </c>
      <c r="R22" s="224"/>
      <c r="S22" s="99">
        <f>+S23+S24+S25+S26</f>
        <v>27751295.280000001</v>
      </c>
      <c r="T22" s="99">
        <f>+T23+T24+T25+T26</f>
        <v>26427470</v>
      </c>
      <c r="U22" s="99">
        <f>+U23+U24+U25+U26</f>
        <v>26427470</v>
      </c>
      <c r="V22" s="99">
        <f>+V23+V24+V25+V26</f>
        <v>26792092.260000002</v>
      </c>
    </row>
    <row r="23" spans="1:22" s="46" customFormat="1" ht="14.25">
      <c r="A23" s="94"/>
      <c r="B23" s="94"/>
      <c r="C23" s="1"/>
      <c r="D23" s="1"/>
      <c r="E23" s="1"/>
      <c r="F23" s="1"/>
      <c r="H23" s="53" t="s">
        <v>105</v>
      </c>
      <c r="I23" s="220"/>
      <c r="J23" s="124">
        <v>1663677.48</v>
      </c>
      <c r="K23" s="124">
        <v>0</v>
      </c>
      <c r="L23" s="124">
        <v>0</v>
      </c>
      <c r="M23" s="101"/>
      <c r="N23" s="124">
        <v>147012.01999999999</v>
      </c>
      <c r="O23" s="124">
        <v>0</v>
      </c>
      <c r="P23" s="124">
        <v>0</v>
      </c>
      <c r="Q23" s="124">
        <v>0</v>
      </c>
      <c r="R23" s="101"/>
      <c r="S23" s="124">
        <f>762063.74+N23</f>
        <v>909075.76</v>
      </c>
      <c r="T23" s="124">
        <v>0</v>
      </c>
      <c r="U23" s="124">
        <v>0</v>
      </c>
      <c r="V23" s="124">
        <v>0</v>
      </c>
    </row>
    <row r="24" spans="1:22" s="46" customFormat="1" ht="14.25">
      <c r="A24" s="94"/>
      <c r="B24" s="94"/>
      <c r="C24" s="1"/>
      <c r="D24" s="1"/>
      <c r="E24" s="1"/>
      <c r="F24" s="1"/>
      <c r="H24" s="53" t="s">
        <v>106</v>
      </c>
      <c r="I24" s="220"/>
      <c r="J24" s="124">
        <v>44136586.850000001</v>
      </c>
      <c r="K24" s="124">
        <v>44552380</v>
      </c>
      <c r="L24" s="124">
        <v>44552380</v>
      </c>
      <c r="M24" s="101"/>
      <c r="N24" s="124">
        <v>3538487.54</v>
      </c>
      <c r="O24" s="124">
        <v>3550650</v>
      </c>
      <c r="P24" s="124">
        <v>3550650</v>
      </c>
      <c r="Q24" s="124">
        <v>3229915.4299999997</v>
      </c>
      <c r="R24" s="101"/>
      <c r="S24" s="124">
        <f>19074420.34+N24</f>
        <v>22612907.879999999</v>
      </c>
      <c r="T24" s="124">
        <f>18575370+O24</f>
        <v>22126020</v>
      </c>
      <c r="U24" s="124">
        <f>18575370+P24</f>
        <v>22126020</v>
      </c>
      <c r="V24" s="124">
        <f>19550479.42+Q24</f>
        <v>22780394.850000001</v>
      </c>
    </row>
    <row r="25" spans="1:22" s="46" customFormat="1" ht="14.25">
      <c r="A25" s="94"/>
      <c r="B25" s="94"/>
      <c r="C25" s="1"/>
      <c r="D25" s="1"/>
      <c r="E25" s="1"/>
      <c r="F25" s="1"/>
      <c r="H25" s="53" t="s">
        <v>107</v>
      </c>
      <c r="I25" s="220"/>
      <c r="J25" s="124">
        <v>2984320.8400000003</v>
      </c>
      <c r="K25" s="124">
        <v>2348260</v>
      </c>
      <c r="L25" s="124">
        <v>2348260</v>
      </c>
      <c r="M25" s="101"/>
      <c r="N25" s="124">
        <v>186146.55</v>
      </c>
      <c r="O25" s="124">
        <v>193190</v>
      </c>
      <c r="P25" s="124">
        <v>193190</v>
      </c>
      <c r="Q25" s="124">
        <v>224172.88</v>
      </c>
      <c r="R25" s="101"/>
      <c r="S25" s="124">
        <f>1199241.45+N25</f>
        <v>1385388</v>
      </c>
      <c r="T25" s="124">
        <f>976260+O25</f>
        <v>1169450</v>
      </c>
      <c r="U25" s="124">
        <f>976260+P25</f>
        <v>1169450</v>
      </c>
      <c r="V25" s="124">
        <f>928721.71+Q25</f>
        <v>1152894.5899999999</v>
      </c>
    </row>
    <row r="26" spans="1:22" s="46" customFormat="1" ht="14.25">
      <c r="A26" s="94"/>
      <c r="B26" s="94"/>
      <c r="C26" s="1"/>
      <c r="D26" s="1"/>
      <c r="E26" s="1"/>
      <c r="F26" s="1"/>
      <c r="H26" s="53" t="s">
        <v>108</v>
      </c>
      <c r="I26" s="220"/>
      <c r="J26" s="124">
        <v>5809591.4100000001</v>
      </c>
      <c r="K26" s="124">
        <v>6264000</v>
      </c>
      <c r="L26" s="124">
        <v>6264000</v>
      </c>
      <c r="M26" s="101"/>
      <c r="N26" s="124">
        <v>450466.18</v>
      </c>
      <c r="O26" s="124">
        <v>522000</v>
      </c>
      <c r="P26" s="124">
        <v>522000</v>
      </c>
      <c r="Q26" s="124">
        <v>439508.59</v>
      </c>
      <c r="R26" s="101"/>
      <c r="S26" s="124">
        <f>2393457.46+N26</f>
        <v>2843923.64</v>
      </c>
      <c r="T26" s="124">
        <f>2610000+O26</f>
        <v>3132000</v>
      </c>
      <c r="U26" s="124">
        <f>2610000+P26</f>
        <v>3132000</v>
      </c>
      <c r="V26" s="124">
        <f>2419294.23+Q26</f>
        <v>2858802.82</v>
      </c>
    </row>
    <row r="27" spans="1:22" s="46" customFormat="1" ht="14.25">
      <c r="A27" s="94"/>
      <c r="B27" s="94"/>
      <c r="C27" s="1"/>
      <c r="D27" s="1"/>
      <c r="E27" s="1"/>
      <c r="F27" s="1"/>
      <c r="H27" s="47"/>
      <c r="I27" s="101"/>
      <c r="J27" s="100"/>
      <c r="K27" s="100"/>
      <c r="L27" s="100"/>
      <c r="M27" s="101"/>
      <c r="N27" s="100"/>
      <c r="O27" s="100"/>
      <c r="P27" s="100"/>
      <c r="Q27" s="124"/>
      <c r="R27" s="101"/>
      <c r="S27" s="100"/>
      <c r="T27" s="100"/>
      <c r="U27" s="100"/>
      <c r="V27" s="124"/>
    </row>
    <row r="28" spans="1:22" s="46" customFormat="1" ht="14.25">
      <c r="A28" s="94"/>
      <c r="B28" s="94"/>
      <c r="C28" s="1"/>
      <c r="D28" s="1"/>
      <c r="E28" s="1"/>
      <c r="F28" s="1"/>
      <c r="H28" s="47" t="s">
        <v>16</v>
      </c>
      <c r="I28" s="101"/>
      <c r="J28" s="99">
        <f>+J29</f>
        <v>0</v>
      </c>
      <c r="K28" s="99">
        <f>+K29</f>
        <v>1998888</v>
      </c>
      <c r="L28" s="99">
        <f>+L29</f>
        <v>1998888</v>
      </c>
      <c r="M28" s="101"/>
      <c r="N28" s="99">
        <f>+N29</f>
        <v>0</v>
      </c>
      <c r="O28" s="99">
        <f>+O29</f>
        <v>159823</v>
      </c>
      <c r="P28" s="99">
        <f>+P29</f>
        <v>159823</v>
      </c>
      <c r="Q28" s="99">
        <f>+Q29</f>
        <v>135154.23000000001</v>
      </c>
      <c r="R28" s="224"/>
      <c r="S28" s="99">
        <f>+S29</f>
        <v>0</v>
      </c>
      <c r="T28" s="99">
        <f>+T29</f>
        <v>994039</v>
      </c>
      <c r="U28" s="99">
        <f>+U29</f>
        <v>994039</v>
      </c>
      <c r="V28" s="99">
        <f>+V29</f>
        <v>769514.80999999994</v>
      </c>
    </row>
    <row r="29" spans="1:22" s="46" customFormat="1" ht="14.25">
      <c r="A29" s="94"/>
      <c r="B29" s="94"/>
      <c r="C29" s="1"/>
      <c r="D29" s="1"/>
      <c r="E29" s="1"/>
      <c r="F29" s="1"/>
      <c r="H29" s="118" t="s">
        <v>105</v>
      </c>
      <c r="I29" s="101"/>
      <c r="J29" s="100">
        <v>0</v>
      </c>
      <c r="K29" s="100">
        <v>1998888</v>
      </c>
      <c r="L29" s="100">
        <v>1998888</v>
      </c>
      <c r="M29" s="101"/>
      <c r="N29" s="100">
        <v>0</v>
      </c>
      <c r="O29" s="100">
        <v>159823</v>
      </c>
      <c r="P29" s="100">
        <v>159823</v>
      </c>
      <c r="Q29" s="100">
        <v>135154.23000000001</v>
      </c>
      <c r="R29" s="101"/>
      <c r="S29" s="100">
        <v>0</v>
      </c>
      <c r="T29" s="100">
        <f>834216+O29</f>
        <v>994039</v>
      </c>
      <c r="U29" s="100">
        <f>834216+P29</f>
        <v>994039</v>
      </c>
      <c r="V29" s="100">
        <f>634360.58+Q29</f>
        <v>769514.80999999994</v>
      </c>
    </row>
    <row r="30" spans="1:22" s="46" customFormat="1" ht="14.25">
      <c r="A30" s="94"/>
      <c r="B30" s="94"/>
      <c r="C30" s="1"/>
      <c r="D30" s="1"/>
      <c r="E30" s="1"/>
      <c r="F30" s="1"/>
      <c r="H30" s="118"/>
      <c r="I30" s="101"/>
      <c r="J30" s="100"/>
      <c r="K30" s="100"/>
      <c r="L30" s="100"/>
      <c r="M30" s="101"/>
      <c r="N30" s="100"/>
      <c r="O30" s="100"/>
      <c r="P30" s="100"/>
      <c r="Q30" s="100"/>
      <c r="R30" s="101"/>
      <c r="S30" s="100"/>
      <c r="T30" s="100"/>
      <c r="U30" s="100"/>
      <c r="V30" s="100"/>
    </row>
    <row r="31" spans="1:22" s="46" customFormat="1" ht="14.25">
      <c r="A31" s="94"/>
      <c r="B31" s="94"/>
      <c r="C31" s="1"/>
      <c r="D31" s="1"/>
      <c r="E31" s="1"/>
      <c r="F31" s="1"/>
      <c r="H31" s="47" t="s">
        <v>17</v>
      </c>
      <c r="I31" s="101"/>
      <c r="J31" s="99">
        <f>+J32+J39</f>
        <v>9192481.0199999996</v>
      </c>
      <c r="K31" s="99">
        <f>+K32+K39+K33</f>
        <v>193390</v>
      </c>
      <c r="L31" s="99">
        <f>+L32+L39+L33</f>
        <v>264292.57</v>
      </c>
      <c r="M31" s="224"/>
      <c r="N31" s="99">
        <f t="shared" ref="N31:Q31" si="4">+N32+N39+N33</f>
        <v>1220055.4099999999</v>
      </c>
      <c r="O31" s="99">
        <f t="shared" si="4"/>
        <v>12150</v>
      </c>
      <c r="P31" s="99">
        <f t="shared" si="4"/>
        <v>12150</v>
      </c>
      <c r="Q31" s="99">
        <f t="shared" si="4"/>
        <v>26782.58</v>
      </c>
      <c r="R31" s="224"/>
      <c r="S31" s="99">
        <f t="shared" ref="S31:V31" si="5">+S32+S39+S33</f>
        <v>3227573.81</v>
      </c>
      <c r="T31" s="99">
        <f t="shared" si="5"/>
        <v>73250</v>
      </c>
      <c r="U31" s="99">
        <f t="shared" si="5"/>
        <v>144152.57</v>
      </c>
      <c r="V31" s="99">
        <f t="shared" si="5"/>
        <v>180597.62</v>
      </c>
    </row>
    <row r="32" spans="1:22" s="46" customFormat="1" ht="14.25">
      <c r="A32" s="94"/>
      <c r="B32" s="94"/>
      <c r="C32" s="1"/>
      <c r="D32" s="1"/>
      <c r="E32" s="1"/>
      <c r="F32" s="1"/>
      <c r="H32" s="49" t="s">
        <v>109</v>
      </c>
      <c r="I32" s="221"/>
      <c r="J32" s="124">
        <v>254878.02</v>
      </c>
      <c r="K32" s="124">
        <v>193390</v>
      </c>
      <c r="L32" s="124">
        <v>193390</v>
      </c>
      <c r="M32" s="124"/>
      <c r="N32" s="154">
        <v>19648.41</v>
      </c>
      <c r="O32" s="110">
        <v>12150</v>
      </c>
      <c r="P32" s="110">
        <v>12150</v>
      </c>
      <c r="Q32" s="124">
        <v>26782.58</v>
      </c>
      <c r="R32" s="124"/>
      <c r="S32" s="201">
        <f>121926.4+N32</f>
        <v>141574.81</v>
      </c>
      <c r="T32" s="201">
        <f>61100+O32</f>
        <v>73250</v>
      </c>
      <c r="U32" s="201">
        <f>61100+P32</f>
        <v>73250</v>
      </c>
      <c r="V32" s="124">
        <f>82912.47+Q32</f>
        <v>109695.05</v>
      </c>
    </row>
    <row r="33" spans="1:22" s="46" customFormat="1" ht="14.25">
      <c r="A33" s="94"/>
      <c r="B33" s="94"/>
      <c r="C33" s="1"/>
      <c r="D33" s="1"/>
      <c r="E33" s="1"/>
      <c r="F33" s="1"/>
      <c r="H33" s="49" t="s">
        <v>136</v>
      </c>
      <c r="I33" s="101"/>
      <c r="J33" s="100">
        <v>0</v>
      </c>
      <c r="K33" s="100">
        <v>0</v>
      </c>
      <c r="L33" s="100">
        <v>70902.570000000007</v>
      </c>
      <c r="M33" s="101"/>
      <c r="N33" s="100">
        <v>0</v>
      </c>
      <c r="O33" s="124">
        <v>0</v>
      </c>
      <c r="P33" s="124">
        <v>0</v>
      </c>
      <c r="Q33" s="100">
        <v>0</v>
      </c>
      <c r="R33" s="101"/>
      <c r="S33" s="100">
        <v>0</v>
      </c>
      <c r="T33" s="124">
        <v>0</v>
      </c>
      <c r="U33" s="124">
        <v>70902.570000000007</v>
      </c>
      <c r="V33" s="100">
        <v>70902.570000000007</v>
      </c>
    </row>
    <row r="34" spans="1:22" s="46" customFormat="1" ht="14.25">
      <c r="A34" s="94"/>
      <c r="B34" s="94"/>
      <c r="C34" s="1"/>
      <c r="D34" s="1"/>
      <c r="E34" s="1"/>
      <c r="F34" s="1"/>
      <c r="H34" s="49"/>
      <c r="I34" s="101"/>
      <c r="J34" s="100"/>
      <c r="K34" s="100"/>
      <c r="L34" s="100"/>
      <c r="M34" s="101"/>
      <c r="N34" s="100"/>
      <c r="O34" s="124"/>
      <c r="P34" s="124"/>
      <c r="Q34" s="100"/>
      <c r="R34" s="101"/>
      <c r="S34" s="100"/>
      <c r="T34" s="124"/>
      <c r="U34" s="124"/>
      <c r="V34" s="100"/>
    </row>
    <row r="35" spans="1:22" s="46" customFormat="1" ht="14.25">
      <c r="A35" s="94"/>
      <c r="B35" s="94"/>
      <c r="C35" s="1"/>
      <c r="D35" s="1"/>
      <c r="E35" s="1"/>
      <c r="F35" s="1"/>
      <c r="H35" s="47" t="s">
        <v>30</v>
      </c>
      <c r="I35" s="101"/>
      <c r="J35" s="100"/>
      <c r="K35" s="52"/>
      <c r="L35" s="52"/>
      <c r="M35" s="101"/>
      <c r="N35" s="100"/>
      <c r="O35" s="52"/>
      <c r="P35" s="52"/>
      <c r="Q35" s="52"/>
      <c r="R35" s="101"/>
      <c r="S35" s="100"/>
      <c r="T35" s="52"/>
      <c r="U35" s="52"/>
      <c r="V35" s="52"/>
    </row>
    <row r="36" spans="1:22" s="46" customFormat="1" ht="14.25">
      <c r="A36" s="94"/>
      <c r="B36" s="94"/>
      <c r="C36" s="1"/>
      <c r="D36" s="1"/>
      <c r="E36" s="1"/>
      <c r="F36" s="1"/>
      <c r="H36" s="49" t="s">
        <v>31</v>
      </c>
      <c r="I36" s="101"/>
      <c r="J36" s="100"/>
      <c r="K36" s="100" t="s">
        <v>124</v>
      </c>
      <c r="L36" s="100"/>
      <c r="M36" s="101"/>
      <c r="N36" s="100"/>
      <c r="O36" s="100"/>
      <c r="P36" s="100"/>
      <c r="Q36" s="225"/>
      <c r="R36" s="101"/>
      <c r="S36" s="100"/>
      <c r="T36" s="100"/>
      <c r="U36" s="100"/>
      <c r="V36" s="100"/>
    </row>
    <row r="37" spans="1:22" s="46" customFormat="1" ht="14.25">
      <c r="A37" s="94"/>
      <c r="B37" s="94"/>
      <c r="C37" s="1"/>
      <c r="D37" s="1"/>
      <c r="E37" s="1"/>
      <c r="F37" s="1"/>
      <c r="H37" s="49" t="s">
        <v>32</v>
      </c>
      <c r="I37" s="101"/>
      <c r="J37" s="100"/>
      <c r="K37" s="100"/>
      <c r="L37" s="100"/>
      <c r="M37" s="101"/>
      <c r="N37" s="100"/>
      <c r="O37" s="100"/>
      <c r="P37" s="100"/>
      <c r="Q37" s="225"/>
      <c r="R37" s="101"/>
      <c r="S37" s="100"/>
      <c r="T37" s="100"/>
      <c r="U37" s="100"/>
      <c r="V37" s="100"/>
    </row>
    <row r="38" spans="1:22" s="46" customFormat="1" ht="14.25">
      <c r="A38" s="94"/>
      <c r="B38" s="94"/>
      <c r="C38" s="1"/>
      <c r="D38" s="1"/>
      <c r="E38" s="1"/>
      <c r="F38" s="1"/>
      <c r="H38" s="49"/>
      <c r="I38" s="101"/>
      <c r="J38" s="100"/>
      <c r="K38" s="100"/>
      <c r="L38" s="100"/>
      <c r="M38" s="101"/>
      <c r="N38" s="100"/>
      <c r="O38" s="225"/>
      <c r="P38" s="100"/>
      <c r="Q38" s="225"/>
      <c r="R38" s="101"/>
      <c r="S38" s="100"/>
      <c r="T38" s="100"/>
      <c r="U38" s="100"/>
      <c r="V38" s="100"/>
    </row>
    <row r="39" spans="1:22" ht="14.25">
      <c r="H39" s="47" t="s">
        <v>94</v>
      </c>
      <c r="I39" s="101"/>
      <c r="J39" s="51">
        <f>SUM(J40:J41)</f>
        <v>8937603</v>
      </c>
      <c r="K39" s="51">
        <f>SUM(K40:K41)</f>
        <v>0</v>
      </c>
      <c r="L39" s="51">
        <f>SUM(L40:L41)</f>
        <v>0</v>
      </c>
      <c r="M39" s="101"/>
      <c r="N39" s="51">
        <f>SUM(N40:N41)</f>
        <v>1200407</v>
      </c>
      <c r="O39" s="132">
        <f>SUM(O40:O41)</f>
        <v>0</v>
      </c>
      <c r="P39" s="51">
        <f>SUM(P40:P41)</f>
        <v>0</v>
      </c>
      <c r="Q39" s="132">
        <f>SUM(Q40:Q41)</f>
        <v>0</v>
      </c>
      <c r="R39" s="101"/>
      <c r="S39" s="51">
        <f>SUM(S40:S41)</f>
        <v>3085999</v>
      </c>
      <c r="T39" s="132">
        <f>SUM(T40:T41)</f>
        <v>0</v>
      </c>
      <c r="U39" s="51">
        <f>SUM(U40:U41)</f>
        <v>0</v>
      </c>
      <c r="V39" s="51">
        <f>SUM(V40:V41)</f>
        <v>0</v>
      </c>
    </row>
    <row r="40" spans="1:22" ht="14.25">
      <c r="H40" s="49" t="s">
        <v>60</v>
      </c>
      <c r="I40" s="101"/>
      <c r="J40" s="124">
        <v>8937603</v>
      </c>
      <c r="K40" s="124">
        <v>0</v>
      </c>
      <c r="L40" s="124">
        <v>0</v>
      </c>
      <c r="M40" s="124"/>
      <c r="N40" s="124">
        <v>1200407</v>
      </c>
      <c r="O40" s="124">
        <v>0</v>
      </c>
      <c r="P40" s="201">
        <v>0</v>
      </c>
      <c r="Q40" s="226">
        <v>0</v>
      </c>
      <c r="R40" s="124"/>
      <c r="S40" s="124">
        <f>1885592+N40</f>
        <v>3085999</v>
      </c>
      <c r="T40" s="124">
        <v>0</v>
      </c>
      <c r="U40" s="110">
        <v>0</v>
      </c>
      <c r="V40" s="124">
        <v>0</v>
      </c>
    </row>
    <row r="41" spans="1:22" s="43" customFormat="1" ht="21.75" customHeight="1">
      <c r="A41" s="97"/>
      <c r="B41" s="97"/>
      <c r="C41" s="42"/>
      <c r="D41" s="42"/>
      <c r="E41" s="42"/>
      <c r="F41" s="42"/>
      <c r="H41" s="49" t="s">
        <v>61</v>
      </c>
      <c r="I41" s="101"/>
      <c r="J41" s="100"/>
      <c r="K41" s="100"/>
      <c r="L41" s="100"/>
      <c r="M41" s="101"/>
      <c r="N41" s="100"/>
      <c r="O41" s="124"/>
      <c r="P41" s="100"/>
      <c r="Q41" s="225"/>
      <c r="R41" s="101"/>
      <c r="S41" s="100"/>
      <c r="T41" s="124"/>
      <c r="U41" s="100"/>
      <c r="V41" s="100"/>
    </row>
    <row r="42" spans="1:22" s="46" customFormat="1" ht="14.25">
      <c r="A42" s="94"/>
      <c r="B42" s="94"/>
      <c r="C42" s="1"/>
      <c r="D42" s="1"/>
      <c r="E42" s="1"/>
      <c r="F42" s="1"/>
      <c r="H42" s="49"/>
      <c r="I42" s="101"/>
      <c r="J42" s="100"/>
      <c r="K42" s="100"/>
      <c r="L42" s="100"/>
      <c r="M42" s="101"/>
      <c r="N42" s="100"/>
      <c r="O42" s="100"/>
      <c r="P42" s="100"/>
      <c r="Q42" s="225"/>
      <c r="R42" s="101"/>
      <c r="S42" s="100"/>
      <c r="T42" s="100"/>
      <c r="U42" s="100"/>
      <c r="V42" s="100"/>
    </row>
    <row r="43" spans="1:22" s="46" customFormat="1" ht="14.25">
      <c r="A43" s="94"/>
      <c r="B43" s="94"/>
      <c r="C43" s="1"/>
      <c r="D43" s="1"/>
      <c r="E43" s="1"/>
      <c r="F43" s="1"/>
      <c r="H43" s="45" t="s">
        <v>102</v>
      </c>
      <c r="I43" s="101"/>
      <c r="J43" s="39">
        <f>+J44+J47</f>
        <v>13312614.07</v>
      </c>
      <c r="K43" s="39">
        <f>+K44+K47</f>
        <v>27652283</v>
      </c>
      <c r="L43" s="39">
        <f>+L44+L47</f>
        <v>27652283</v>
      </c>
      <c r="M43" s="101"/>
      <c r="N43" s="39">
        <f>+N44+N47</f>
        <v>416667</v>
      </c>
      <c r="O43" s="39">
        <f>+O44+O47</f>
        <v>2210533</v>
      </c>
      <c r="P43" s="39">
        <f>+P44+P47</f>
        <v>2210533</v>
      </c>
      <c r="Q43" s="227">
        <f>+Q44+Q47</f>
        <v>2210533</v>
      </c>
      <c r="R43" s="101"/>
      <c r="S43" s="39">
        <f>+S44+S47</f>
        <v>2500000</v>
      </c>
      <c r="T43" s="39">
        <f>+T44+T47</f>
        <v>11002665</v>
      </c>
      <c r="U43" s="39">
        <f>+U44+U47</f>
        <v>11002665</v>
      </c>
      <c r="V43" s="39">
        <f>+V44+V47</f>
        <v>11002665</v>
      </c>
    </row>
    <row r="44" spans="1:22" ht="14.25">
      <c r="H44" s="53" t="s">
        <v>33</v>
      </c>
      <c r="I44" s="101"/>
      <c r="J44" s="124">
        <f>+J45</f>
        <v>13312614.07</v>
      </c>
      <c r="K44" s="124">
        <f t="shared" ref="K44:L44" si="6">+K45</f>
        <v>27652283</v>
      </c>
      <c r="L44" s="124">
        <f t="shared" si="6"/>
        <v>27652283</v>
      </c>
      <c r="M44" s="124"/>
      <c r="N44" s="228">
        <f>+N45</f>
        <v>416667</v>
      </c>
      <c r="O44" s="228">
        <f t="shared" ref="O44:Q44" si="7">+O45</f>
        <v>2210533</v>
      </c>
      <c r="P44" s="228">
        <f t="shared" si="7"/>
        <v>2210533</v>
      </c>
      <c r="Q44" s="228">
        <f t="shared" si="7"/>
        <v>2210533</v>
      </c>
      <c r="R44" s="124"/>
      <c r="S44" s="228">
        <f>+S45</f>
        <v>2500000</v>
      </c>
      <c r="T44" s="228">
        <f t="shared" ref="T44:V44" si="8">+T45</f>
        <v>11002665</v>
      </c>
      <c r="U44" s="228">
        <f t="shared" si="8"/>
        <v>11002665</v>
      </c>
      <c r="V44" s="162">
        <f t="shared" si="8"/>
        <v>11002665</v>
      </c>
    </row>
    <row r="45" spans="1:22" ht="14.25">
      <c r="H45" s="49" t="s">
        <v>19</v>
      </c>
      <c r="I45" s="101"/>
      <c r="J45" s="124">
        <v>13312614.07</v>
      </c>
      <c r="K45" s="124">
        <v>27652283</v>
      </c>
      <c r="L45" s="124">
        <v>27652283</v>
      </c>
      <c r="M45" s="124"/>
      <c r="N45" s="158">
        <v>416667</v>
      </c>
      <c r="O45" s="124">
        <v>2210533</v>
      </c>
      <c r="P45" s="124">
        <v>2210533</v>
      </c>
      <c r="Q45" s="226">
        <v>2210533</v>
      </c>
      <c r="R45" s="124"/>
      <c r="S45" s="124">
        <f>2083333+N45</f>
        <v>2500000</v>
      </c>
      <c r="T45" s="124">
        <f>8792132+O45</f>
        <v>11002665</v>
      </c>
      <c r="U45" s="124">
        <f t="shared" ref="U45:V45" si="9">8792132+P45</f>
        <v>11002665</v>
      </c>
      <c r="V45" s="124">
        <f t="shared" si="9"/>
        <v>11002665</v>
      </c>
    </row>
    <row r="46" spans="1:22" ht="14.25">
      <c r="H46" s="49" t="s">
        <v>20</v>
      </c>
      <c r="I46" s="101"/>
      <c r="J46" s="100"/>
      <c r="K46" s="100"/>
      <c r="L46" s="100"/>
      <c r="M46" s="101"/>
      <c r="N46" s="100"/>
      <c r="O46" s="100"/>
      <c r="P46" s="100"/>
      <c r="Q46" s="225"/>
      <c r="R46" s="101"/>
      <c r="S46" s="100"/>
      <c r="T46" s="100"/>
      <c r="U46" s="100"/>
      <c r="V46" s="100"/>
    </row>
    <row r="47" spans="1:22" ht="14.25">
      <c r="H47" s="53" t="s">
        <v>21</v>
      </c>
      <c r="I47" s="101"/>
      <c r="J47" s="100"/>
      <c r="K47" s="100"/>
      <c r="L47" s="100"/>
      <c r="M47" s="101"/>
      <c r="N47" s="100"/>
      <c r="O47" s="100"/>
      <c r="P47" s="100"/>
      <c r="Q47" s="225"/>
      <c r="R47" s="101"/>
      <c r="S47" s="100"/>
      <c r="T47" s="100"/>
      <c r="U47" s="100"/>
      <c r="V47" s="100"/>
    </row>
    <row r="48" spans="1:22" ht="14.25">
      <c r="H48" s="49" t="s">
        <v>19</v>
      </c>
      <c r="I48" s="101"/>
      <c r="J48" s="100"/>
      <c r="K48" s="100"/>
      <c r="L48" s="100"/>
      <c r="M48" s="101"/>
      <c r="N48" s="100"/>
      <c r="O48" s="100"/>
      <c r="P48" s="100"/>
      <c r="Q48" s="225"/>
      <c r="R48" s="101"/>
      <c r="S48" s="100"/>
      <c r="T48" s="100"/>
      <c r="U48" s="100"/>
      <c r="V48" s="100"/>
    </row>
    <row r="49" spans="1:22" ht="14.25">
      <c r="H49" s="49" t="s">
        <v>62</v>
      </c>
      <c r="I49" s="101"/>
      <c r="J49" s="100"/>
      <c r="K49" s="100"/>
      <c r="L49" s="100"/>
      <c r="M49" s="101"/>
      <c r="N49" s="100"/>
      <c r="O49" s="100"/>
      <c r="P49" s="100"/>
      <c r="Q49" s="225"/>
      <c r="R49" s="101"/>
      <c r="S49" s="100"/>
      <c r="T49" s="100"/>
      <c r="U49" s="100"/>
      <c r="V49" s="100"/>
    </row>
    <row r="50" spans="1:22" ht="14.25">
      <c r="H50" s="45" t="s">
        <v>91</v>
      </c>
      <c r="I50" s="101"/>
      <c r="J50" s="39">
        <f>+J51+J52</f>
        <v>0</v>
      </c>
      <c r="K50" s="39">
        <f>+K51+K52</f>
        <v>0</v>
      </c>
      <c r="L50" s="39">
        <f>+L51+L52</f>
        <v>0</v>
      </c>
      <c r="M50" s="101"/>
      <c r="N50" s="39">
        <f>+N51+N52</f>
        <v>0</v>
      </c>
      <c r="O50" s="39">
        <f>+O51+O52</f>
        <v>0</v>
      </c>
      <c r="P50" s="39">
        <f>+P51+P52</f>
        <v>0</v>
      </c>
      <c r="Q50" s="227">
        <f>+Q51+Q52</f>
        <v>0</v>
      </c>
      <c r="R50" s="101"/>
      <c r="S50" s="39">
        <f>+S51+S52</f>
        <v>0</v>
      </c>
      <c r="T50" s="39">
        <f>+T51+T52</f>
        <v>0</v>
      </c>
      <c r="U50" s="39">
        <f>+U51+U52</f>
        <v>0</v>
      </c>
      <c r="V50" s="39">
        <f>+V51+V52</f>
        <v>0</v>
      </c>
    </row>
    <row r="51" spans="1:22" s="43" customFormat="1" ht="21.75" customHeight="1">
      <c r="A51" s="97"/>
      <c r="B51" s="97"/>
      <c r="C51" s="42"/>
      <c r="D51" s="42"/>
      <c r="E51" s="42"/>
      <c r="F51" s="42"/>
      <c r="H51" s="53" t="s">
        <v>33</v>
      </c>
      <c r="I51" s="101"/>
      <c r="J51" s="100"/>
      <c r="K51" s="100"/>
      <c r="L51" s="100"/>
      <c r="M51" s="101"/>
      <c r="N51" s="100"/>
      <c r="O51" s="225"/>
      <c r="P51" s="100"/>
      <c r="Q51" s="225"/>
      <c r="R51" s="101"/>
      <c r="S51" s="100"/>
      <c r="T51" s="100"/>
      <c r="U51" s="100"/>
      <c r="V51" s="100"/>
    </row>
    <row r="52" spans="1:22" ht="14.25">
      <c r="H52" s="53" t="s">
        <v>21</v>
      </c>
      <c r="I52" s="101"/>
      <c r="J52" s="100"/>
      <c r="K52" s="100"/>
      <c r="L52" s="100"/>
      <c r="M52" s="101"/>
      <c r="N52" s="100"/>
      <c r="O52" s="100"/>
      <c r="P52" s="100"/>
      <c r="Q52" s="100"/>
      <c r="R52" s="101"/>
      <c r="S52" s="100"/>
      <c r="T52" s="100"/>
      <c r="U52" s="100"/>
      <c r="V52" s="100"/>
    </row>
    <row r="53" spans="1:22" ht="14.25">
      <c r="H53" s="44" t="s">
        <v>92</v>
      </c>
      <c r="I53" s="101"/>
      <c r="J53" s="39">
        <f>J54</f>
        <v>0</v>
      </c>
      <c r="K53" s="39">
        <f>SUM(K54)</f>
        <v>0</v>
      </c>
      <c r="L53" s="39">
        <f>SUM(L54)</f>
        <v>0</v>
      </c>
      <c r="M53" s="101"/>
      <c r="N53" s="39">
        <f>SUM(N54)</f>
        <v>0</v>
      </c>
      <c r="O53" s="39">
        <f>SUM(O54)</f>
        <v>0</v>
      </c>
      <c r="P53" s="39">
        <f>SUM(P54)</f>
        <v>0</v>
      </c>
      <c r="Q53" s="39">
        <f>SUM(Q54)</f>
        <v>0</v>
      </c>
      <c r="R53" s="101"/>
      <c r="S53" s="39">
        <f>SUM(S54)</f>
        <v>0</v>
      </c>
      <c r="T53" s="39">
        <f>SUM(T54)</f>
        <v>0</v>
      </c>
      <c r="U53" s="39">
        <f>SUM(U54)</f>
        <v>0</v>
      </c>
      <c r="V53" s="39">
        <f>SUM(V54)</f>
        <v>0</v>
      </c>
    </row>
    <row r="54" spans="1:22" ht="14.25">
      <c r="H54" s="54" t="s">
        <v>93</v>
      </c>
      <c r="I54" s="101"/>
      <c r="J54" s="51">
        <f>+J55-J56</f>
        <v>0</v>
      </c>
      <c r="K54" s="51">
        <f>+K55-K56</f>
        <v>0</v>
      </c>
      <c r="L54" s="51">
        <f>+L55-L56</f>
        <v>0</v>
      </c>
      <c r="M54" s="101"/>
      <c r="N54" s="51">
        <f>+N55-N56</f>
        <v>0</v>
      </c>
      <c r="O54" s="51">
        <f>+O55-O56</f>
        <v>0</v>
      </c>
      <c r="P54" s="51">
        <f>+P55-P56</f>
        <v>0</v>
      </c>
      <c r="Q54" s="51">
        <f>+Q55-Q56</f>
        <v>0</v>
      </c>
      <c r="R54" s="101"/>
      <c r="S54" s="51">
        <f>+S55-S56</f>
        <v>0</v>
      </c>
      <c r="T54" s="51">
        <f>+T55-T56</f>
        <v>0</v>
      </c>
      <c r="U54" s="51">
        <f>+U55-U56</f>
        <v>0</v>
      </c>
      <c r="V54" s="51">
        <f>+V55-V56</f>
        <v>0</v>
      </c>
    </row>
    <row r="55" spans="1:22" ht="14.25">
      <c r="H55" s="53" t="s">
        <v>34</v>
      </c>
      <c r="I55" s="101"/>
      <c r="J55" s="100"/>
      <c r="K55" s="100"/>
      <c r="L55" s="100"/>
      <c r="M55" s="101"/>
      <c r="N55" s="100"/>
      <c r="O55" s="100"/>
      <c r="P55" s="100"/>
      <c r="Q55" s="100"/>
      <c r="R55" s="101"/>
      <c r="S55" s="48"/>
      <c r="T55" s="48"/>
      <c r="U55" s="48"/>
      <c r="V55" s="48"/>
    </row>
    <row r="56" spans="1:22" ht="14.25">
      <c r="H56" s="55" t="s">
        <v>25</v>
      </c>
      <c r="I56" s="222"/>
      <c r="J56" s="102"/>
      <c r="K56" s="102"/>
      <c r="L56" s="102"/>
      <c r="M56" s="222"/>
      <c r="N56" s="102"/>
      <c r="O56" s="102"/>
      <c r="P56" s="102"/>
      <c r="Q56" s="102"/>
      <c r="R56" s="222"/>
      <c r="S56" s="98"/>
      <c r="T56" s="98"/>
      <c r="U56" s="98"/>
      <c r="V56" s="98"/>
    </row>
    <row r="58" spans="1:22" ht="15" customHeight="1">
      <c r="H58" s="235" t="s">
        <v>99</v>
      </c>
      <c r="I58" s="236"/>
      <c r="J58" s="236"/>
      <c r="K58" s="236"/>
      <c r="L58" s="236"/>
      <c r="M58" s="236"/>
      <c r="N58" s="236"/>
      <c r="O58" s="236"/>
      <c r="P58" s="236"/>
      <c r="Q58" s="236"/>
      <c r="R58" s="236"/>
      <c r="S58" s="236"/>
      <c r="T58" s="236"/>
      <c r="U58" s="236"/>
      <c r="V58" s="237"/>
    </row>
    <row r="59" spans="1:22" ht="14.25" customHeight="1">
      <c r="H59" s="238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  <c r="T59" s="239"/>
      <c r="U59" s="239"/>
      <c r="V59" s="240"/>
    </row>
    <row r="60" spans="1:22" ht="14.25">
      <c r="H60" s="4" t="s">
        <v>43</v>
      </c>
      <c r="I60" s="50"/>
      <c r="J60" s="4"/>
      <c r="K60" s="4"/>
      <c r="L60" s="4"/>
      <c r="M60" s="50"/>
      <c r="N60" s="4"/>
      <c r="O60" s="4"/>
      <c r="P60" s="4"/>
      <c r="Q60" s="4"/>
      <c r="R60" s="50"/>
      <c r="S60" s="4"/>
      <c r="T60" s="4"/>
      <c r="U60" s="4"/>
      <c r="V60" s="4"/>
    </row>
    <row r="61" spans="1:22" ht="14.25">
      <c r="H61" s="4"/>
      <c r="I61" s="50"/>
      <c r="J61" s="4"/>
      <c r="K61" s="4"/>
      <c r="L61" s="4"/>
      <c r="M61" s="50"/>
      <c r="N61" s="4"/>
      <c r="O61" s="4"/>
      <c r="P61" s="4"/>
      <c r="Q61" s="4"/>
      <c r="R61" s="50"/>
      <c r="S61" s="4"/>
      <c r="T61" s="4"/>
      <c r="U61" s="4"/>
      <c r="V61" s="4"/>
    </row>
    <row r="68" ht="39" customHeight="1"/>
  </sheetData>
  <mergeCells count="17">
    <mergeCell ref="T3:V3"/>
    <mergeCell ref="J11:J12"/>
    <mergeCell ref="K11:K12"/>
    <mergeCell ref="L11:L12"/>
    <mergeCell ref="O11:P11"/>
    <mergeCell ref="T11:U11"/>
    <mergeCell ref="N11:N12"/>
    <mergeCell ref="S11:S12"/>
    <mergeCell ref="V11:V12"/>
    <mergeCell ref="O10:Q10"/>
    <mergeCell ref="T10:V10"/>
    <mergeCell ref="H58:V59"/>
    <mergeCell ref="K10:L10"/>
    <mergeCell ref="H10:H12"/>
    <mergeCell ref="J8:L9"/>
    <mergeCell ref="N8:Q9"/>
    <mergeCell ref="S8:V9"/>
  </mergeCells>
  <phoneticPr fontId="0" type="noConversion"/>
  <dataValidations count="2">
    <dataValidation type="list" allowBlank="1" showInputMessage="1" showErrorMessage="1" prompt="Seleccione el período acumulado que desea consultar" sqref="A3">
      <formula1>"ENERO,FEBRERO,MARZO,ABRIL,MAYO,JUNIO,JULIO,AGOSTO,SEPTIEMBRE,OCTUBRE,NOVIEMBRE,DICIEMBRE"</formula1>
    </dataValidation>
    <dataValidation type="list" allowBlank="1" showInputMessage="1" showErrorMessage="1" sqref="H9">
      <formula1>$A$8:$A$19</formula1>
    </dataValidation>
  </dataValidations>
  <printOptions horizontalCentered="1" verticalCentered="1"/>
  <pageMargins left="0.39370078740157483" right="0.27559055118110237" top="0.59055118110236227" bottom="0.39370078740157483" header="0" footer="0"/>
  <pageSetup scale="51" orientation="landscape" r:id="rId1"/>
  <headerFooter alignWithMargins="0"/>
  <rowBreaks count="1" manualBreakCount="1">
    <brk id="13" min="7" max="2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7"/>
  <sheetViews>
    <sheetView showGridLines="0" view="pageBreakPreview" workbookViewId="0">
      <selection activeCell="M24" sqref="M24"/>
    </sheetView>
  </sheetViews>
  <sheetFormatPr baseColWidth="10" defaultRowHeight="12.75"/>
  <cols>
    <col min="1" max="1" width="11.42578125" style="1"/>
    <col min="2" max="2" width="49.7109375" style="1" customWidth="1"/>
    <col min="3" max="3" width="0.85546875" style="1" customWidth="1"/>
    <col min="4" max="4" width="24.42578125" style="1" bestFit="1" customWidth="1"/>
    <col min="5" max="6" width="19.85546875" style="1" bestFit="1" customWidth="1"/>
    <col min="7" max="7" width="12.140625" style="1" customWidth="1"/>
    <col min="8" max="8" width="19.85546875" style="1" bestFit="1" customWidth="1"/>
    <col min="9" max="9" width="11.42578125" style="1" customWidth="1"/>
    <col min="10" max="10" width="16.28515625" style="1" customWidth="1"/>
    <col min="11" max="11" width="10.5703125" style="1" customWidth="1"/>
    <col min="12" max="12" width="19.85546875" style="1" bestFit="1" customWidth="1"/>
    <col min="13" max="13" width="19.28515625" style="1" bestFit="1" customWidth="1"/>
    <col min="14" max="14" width="10.5703125" style="1" customWidth="1"/>
    <col min="15" max="16384" width="11.42578125" style="1"/>
  </cols>
  <sheetData>
    <row r="1" spans="2:14">
      <c r="L1" s="269"/>
      <c r="M1" s="269"/>
      <c r="N1" s="269"/>
    </row>
    <row r="2" spans="2:14" ht="22.5" customHeight="1">
      <c r="L2" s="269"/>
      <c r="M2" s="269"/>
      <c r="N2" s="269"/>
    </row>
    <row r="4" spans="2:14" ht="15">
      <c r="B4" s="2" t="s">
        <v>126</v>
      </c>
    </row>
    <row r="5" spans="2:14" ht="15">
      <c r="B5" s="3" t="s">
        <v>112</v>
      </c>
    </row>
    <row r="6" spans="2:14" ht="16.5" customHeight="1">
      <c r="B6" s="192" t="s">
        <v>139</v>
      </c>
    </row>
    <row r="7" spans="2:14" ht="21" customHeight="1">
      <c r="B7" s="192" t="s">
        <v>74</v>
      </c>
      <c r="M7" s="191" t="s">
        <v>57</v>
      </c>
    </row>
    <row r="8" spans="2:14" ht="16.5" customHeight="1">
      <c r="B8" s="3"/>
      <c r="M8" s="191"/>
    </row>
    <row r="10" spans="2:14" ht="21" customHeight="1">
      <c r="B10" s="261" t="s">
        <v>59</v>
      </c>
      <c r="C10" s="188"/>
      <c r="D10" s="264" t="s">
        <v>90</v>
      </c>
      <c r="E10" s="265"/>
      <c r="F10" s="265"/>
      <c r="G10" s="266"/>
      <c r="H10" s="267" t="s">
        <v>95</v>
      </c>
      <c r="I10" s="265"/>
      <c r="J10" s="265"/>
      <c r="K10" s="265"/>
      <c r="L10" s="265"/>
      <c r="M10" s="274" t="s">
        <v>35</v>
      </c>
      <c r="N10" s="275"/>
    </row>
    <row r="11" spans="2:14" ht="24" customHeight="1">
      <c r="B11" s="262"/>
      <c r="C11" s="188"/>
      <c r="D11" s="277" t="s">
        <v>45</v>
      </c>
      <c r="E11" s="272" t="s">
        <v>46</v>
      </c>
      <c r="F11" s="270" t="s">
        <v>36</v>
      </c>
      <c r="G11" s="279"/>
      <c r="H11" s="280" t="s">
        <v>37</v>
      </c>
      <c r="I11" s="270" t="s">
        <v>38</v>
      </c>
      <c r="J11" s="272" t="s">
        <v>47</v>
      </c>
      <c r="K11" s="270" t="s">
        <v>38</v>
      </c>
      <c r="L11" s="272" t="s">
        <v>39</v>
      </c>
      <c r="M11" s="272"/>
      <c r="N11" s="276"/>
    </row>
    <row r="12" spans="2:14" ht="30.75" customHeight="1">
      <c r="B12" s="263"/>
      <c r="C12" s="188"/>
      <c r="D12" s="278"/>
      <c r="E12" s="273"/>
      <c r="F12" s="189" t="s">
        <v>40</v>
      </c>
      <c r="G12" s="190" t="s">
        <v>38</v>
      </c>
      <c r="H12" s="281"/>
      <c r="I12" s="271"/>
      <c r="J12" s="273"/>
      <c r="K12" s="271"/>
      <c r="L12" s="273"/>
      <c r="M12" s="189" t="s">
        <v>40</v>
      </c>
      <c r="N12" s="190" t="s">
        <v>38</v>
      </c>
    </row>
    <row r="13" spans="2:14" ht="14.2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4" ht="36.75" customHeight="1">
      <c r="B14" s="126" t="s">
        <v>111</v>
      </c>
      <c r="C14" s="5"/>
      <c r="D14" s="127">
        <v>27565661.57</v>
      </c>
      <c r="E14" s="128">
        <v>27742204.690000001</v>
      </c>
      <c r="F14" s="131">
        <f>+E14-D14</f>
        <v>176543.12000000104</v>
      </c>
      <c r="G14" s="6">
        <f>IF(D14=0,"n.a.",((E14/D14)-1)*100)</f>
        <v>0.64044579358883968</v>
      </c>
      <c r="H14" s="129">
        <v>19458935.41</v>
      </c>
      <c r="I14" s="8">
        <f>IF(L14=0, "n.a.",H14/L14)</f>
        <v>1</v>
      </c>
      <c r="J14" s="7">
        <v>0</v>
      </c>
      <c r="K14" s="9">
        <f>IF(L14=0,"n.a.",J14/L14)</f>
        <v>0</v>
      </c>
      <c r="L14" s="180">
        <f>+H14+J14</f>
        <v>19458935.41</v>
      </c>
      <c r="M14" s="7">
        <f>E14-L14</f>
        <v>8283269.2800000012</v>
      </c>
      <c r="N14" s="10">
        <f>IF(L14=0,"n.a.",((E14/L14)-1)*100)</f>
        <v>42.56794683507303</v>
      </c>
    </row>
    <row r="15" spans="2:14" ht="36.75" customHeight="1"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</row>
    <row r="16" spans="2:14" ht="48.75" customHeight="1">
      <c r="B16" s="11"/>
      <c r="C16" s="4"/>
      <c r="D16" s="12"/>
      <c r="E16" s="12"/>
      <c r="F16" s="12"/>
      <c r="G16" s="13"/>
      <c r="H16" s="133"/>
      <c r="I16" s="15"/>
      <c r="J16" s="14"/>
      <c r="K16" s="15"/>
      <c r="L16" s="14"/>
      <c r="M16" s="14"/>
      <c r="N16" s="15"/>
    </row>
    <row r="17" spans="2:16" ht="25.5" customHeight="1">
      <c r="B17" s="11"/>
      <c r="C17" s="4"/>
      <c r="D17" s="12"/>
      <c r="E17" s="12"/>
      <c r="F17" s="12"/>
      <c r="G17" s="133"/>
      <c r="H17" s="134"/>
      <c r="I17" s="15"/>
      <c r="J17" s="14"/>
      <c r="K17" s="15"/>
      <c r="L17" s="14"/>
      <c r="M17" s="14"/>
      <c r="N17" s="15"/>
    </row>
    <row r="18" spans="2:16">
      <c r="G18" s="134"/>
      <c r="H18" s="133"/>
      <c r="O18" s="16"/>
      <c r="P18" s="16"/>
    </row>
    <row r="19" spans="2:16" ht="17.25" customHeight="1">
      <c r="G19" s="260"/>
      <c r="H19" s="260"/>
      <c r="I19" s="260"/>
    </row>
    <row r="20" spans="2:16" ht="27.75" customHeight="1">
      <c r="G20" s="260"/>
      <c r="H20" s="260"/>
      <c r="I20" s="260"/>
    </row>
    <row r="21" spans="2:16" ht="26.25" customHeight="1">
      <c r="G21" s="135"/>
    </row>
    <row r="23" spans="2:16">
      <c r="M23" s="90"/>
    </row>
    <row r="25" spans="2:16">
      <c r="E25" s="1" t="s">
        <v>124</v>
      </c>
    </row>
    <row r="27" spans="2:16">
      <c r="K27" s="1" t="s">
        <v>124</v>
      </c>
    </row>
  </sheetData>
  <mergeCells count="16">
    <mergeCell ref="L1:N2"/>
    <mergeCell ref="K11:K12"/>
    <mergeCell ref="L11:L12"/>
    <mergeCell ref="M10:N11"/>
    <mergeCell ref="D11:D12"/>
    <mergeCell ref="E11:E12"/>
    <mergeCell ref="F11:G11"/>
    <mergeCell ref="H11:H12"/>
    <mergeCell ref="I11:I12"/>
    <mergeCell ref="J11:J12"/>
    <mergeCell ref="G19:I19"/>
    <mergeCell ref="G20:I20"/>
    <mergeCell ref="B10:B12"/>
    <mergeCell ref="D10:G10"/>
    <mergeCell ref="H10:L10"/>
    <mergeCell ref="B15:N15"/>
  </mergeCells>
  <phoneticPr fontId="0" type="noConversion"/>
  <printOptions horizontalCentered="1" verticalCentered="1"/>
  <pageMargins left="0.39370078740157483" right="0.27559055118110237" top="0.59055118110236227" bottom="0.39370078740157483" header="0" footer="0"/>
  <pageSetup scale="5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outlinePr summaryBelow="0"/>
    <pageSetUpPr fitToPage="1"/>
  </sheetPr>
  <dimension ref="B3:K62"/>
  <sheetViews>
    <sheetView showGridLines="0" view="pageBreakPreview" topLeftCell="H1" zoomScale="75" zoomScaleNormal="75" zoomScaleSheetLayoutView="75" workbookViewId="0">
      <selection activeCell="K17" sqref="K17"/>
    </sheetView>
  </sheetViews>
  <sheetFormatPr baseColWidth="10" defaultRowHeight="11.25"/>
  <cols>
    <col min="1" max="1" width="5.42578125" style="61" customWidth="1"/>
    <col min="2" max="2" width="5" style="61" customWidth="1"/>
    <col min="3" max="3" width="13.28515625" style="61" customWidth="1"/>
    <col min="4" max="4" width="17" style="61" customWidth="1"/>
    <col min="5" max="5" width="23" style="61" customWidth="1"/>
    <col min="6" max="6" width="5.140625" style="61" customWidth="1"/>
    <col min="7" max="7" width="21.85546875" style="61" bestFit="1" customWidth="1"/>
    <col min="8" max="8" width="112.85546875" style="62" customWidth="1"/>
    <col min="9" max="9" width="59.5703125" style="62" customWidth="1"/>
    <col min="10" max="11" width="14.42578125" style="61" bestFit="1" customWidth="1"/>
    <col min="12" max="16384" width="11.42578125" style="61"/>
  </cols>
  <sheetData>
    <row r="3" spans="2:9" ht="25.5" customHeight="1"/>
    <row r="4" spans="2:9" s="56" customFormat="1" ht="25.5">
      <c r="B4" s="193" t="s">
        <v>127</v>
      </c>
      <c r="H4" s="57"/>
      <c r="I4" s="57"/>
    </row>
    <row r="5" spans="2:9" s="58" customFormat="1" ht="19.5">
      <c r="B5" s="192" t="s">
        <v>72</v>
      </c>
      <c r="E5" s="3" t="s">
        <v>113</v>
      </c>
      <c r="H5" s="59"/>
      <c r="I5" s="59"/>
    </row>
    <row r="6" spans="2:9" s="58" customFormat="1" ht="24" customHeight="1">
      <c r="B6" s="192" t="s">
        <v>27</v>
      </c>
      <c r="H6" s="59"/>
      <c r="I6" s="59"/>
    </row>
    <row r="7" spans="2:9" s="58" customFormat="1" ht="19.5">
      <c r="B7" s="192" t="s">
        <v>28</v>
      </c>
      <c r="H7" s="59"/>
      <c r="I7" s="59"/>
    </row>
    <row r="8" spans="2:9" s="58" customFormat="1" ht="15">
      <c r="B8" s="60"/>
      <c r="H8" s="59"/>
      <c r="I8" s="59"/>
    </row>
    <row r="9" spans="2:9" s="58" customFormat="1" ht="24.75">
      <c r="B9" s="192" t="s">
        <v>140</v>
      </c>
      <c r="H9" s="59"/>
      <c r="I9" s="57" t="s">
        <v>58</v>
      </c>
    </row>
    <row r="10" spans="2:9" s="58" customFormat="1" ht="12" thickBot="1">
      <c r="H10" s="59"/>
      <c r="I10" s="59"/>
    </row>
    <row r="11" spans="2:9" ht="21" customHeight="1" thickTop="1">
      <c r="B11" s="323"/>
      <c r="C11" s="323" t="s">
        <v>29</v>
      </c>
      <c r="D11" s="342" t="s">
        <v>121</v>
      </c>
      <c r="E11" s="342"/>
      <c r="F11" s="337" t="s">
        <v>130</v>
      </c>
      <c r="G11" s="337"/>
      <c r="H11" s="323" t="s">
        <v>71</v>
      </c>
      <c r="I11" s="323"/>
    </row>
    <row r="12" spans="2:9" ht="15.75" customHeight="1">
      <c r="B12" s="324"/>
      <c r="C12" s="324"/>
      <c r="D12" s="343" t="s">
        <v>138</v>
      </c>
      <c r="E12" s="343"/>
      <c r="F12" s="338" t="s">
        <v>48</v>
      </c>
      <c r="G12" s="194" t="s">
        <v>49</v>
      </c>
      <c r="H12" s="324"/>
      <c r="I12" s="324"/>
    </row>
    <row r="13" spans="2:9" ht="12" customHeight="1" thickBot="1">
      <c r="B13" s="325"/>
      <c r="C13" s="325"/>
      <c r="D13" s="344"/>
      <c r="E13" s="344"/>
      <c r="F13" s="339"/>
      <c r="G13" s="195" t="s">
        <v>63</v>
      </c>
      <c r="H13" s="325"/>
      <c r="I13" s="325"/>
    </row>
    <row r="14" spans="2:9" ht="6" customHeight="1" thickTop="1" thickBot="1">
      <c r="C14" s="62"/>
      <c r="D14" s="62"/>
      <c r="E14" s="62"/>
      <c r="F14" s="62"/>
      <c r="G14" s="62"/>
    </row>
    <row r="15" spans="2:9" s="66" customFormat="1" ht="42" customHeight="1" thickTop="1">
      <c r="B15" s="286" t="s">
        <v>13</v>
      </c>
      <c r="C15" s="322" t="s">
        <v>53</v>
      </c>
      <c r="D15" s="63" t="s">
        <v>70</v>
      </c>
      <c r="E15" s="202">
        <v>26427470</v>
      </c>
      <c r="F15" s="341" t="s">
        <v>50</v>
      </c>
      <c r="G15" s="209">
        <f>+E16-E15</f>
        <v>364622.26000000164</v>
      </c>
      <c r="H15" s="309" t="s">
        <v>141</v>
      </c>
      <c r="I15" s="310"/>
    </row>
    <row r="16" spans="2:9" s="66" customFormat="1" ht="20.25" customHeight="1" thickBot="1">
      <c r="B16" s="287"/>
      <c r="C16" s="290"/>
      <c r="D16" s="67" t="s">
        <v>129</v>
      </c>
      <c r="E16" s="203">
        <v>26792092.260000002</v>
      </c>
      <c r="F16" s="331"/>
      <c r="G16" s="210">
        <f>IF(E15=0,"n.a.",(E16/E15-1)*100)</f>
        <v>1.3797092949117129</v>
      </c>
      <c r="H16" s="311"/>
      <c r="I16" s="312"/>
    </row>
    <row r="17" spans="2:11" s="66" customFormat="1" ht="51" customHeight="1" thickTop="1">
      <c r="B17" s="287"/>
      <c r="C17" s="290"/>
      <c r="D17" s="70" t="s">
        <v>120</v>
      </c>
      <c r="E17" s="204">
        <v>27751295.280000001</v>
      </c>
      <c r="F17" s="327" t="s">
        <v>122</v>
      </c>
      <c r="G17" s="211">
        <f>+E18-E17</f>
        <v>-959203.01999999955</v>
      </c>
      <c r="H17" s="309" t="s">
        <v>143</v>
      </c>
      <c r="I17" s="334"/>
    </row>
    <row r="18" spans="2:11" s="66" customFormat="1" ht="53.25" customHeight="1" thickBot="1">
      <c r="B18" s="287"/>
      <c r="C18" s="333"/>
      <c r="D18" s="73" t="s">
        <v>129</v>
      </c>
      <c r="E18" s="205">
        <v>26792092.260000002</v>
      </c>
      <c r="F18" s="340"/>
      <c r="G18" s="212">
        <f>IF(E17=0,"n..a",(E18/E17-1)*100)</f>
        <v>-3.4564261246979866</v>
      </c>
      <c r="H18" s="335"/>
      <c r="I18" s="336"/>
    </row>
    <row r="19" spans="2:11" s="66" customFormat="1" ht="37.5" customHeight="1" thickTop="1">
      <c r="B19" s="287"/>
      <c r="C19" s="290" t="s">
        <v>123</v>
      </c>
      <c r="D19" s="63" t="s">
        <v>70</v>
      </c>
      <c r="E19" s="204">
        <v>73250</v>
      </c>
      <c r="F19" s="332" t="s">
        <v>50</v>
      </c>
      <c r="G19" s="213">
        <f>+E20-E19</f>
        <v>107347.62</v>
      </c>
      <c r="H19" s="309" t="s">
        <v>146</v>
      </c>
      <c r="I19" s="310"/>
      <c r="J19" s="179">
        <f>70902.57+36445.05</f>
        <v>107347.62000000001</v>
      </c>
      <c r="K19" s="179"/>
    </row>
    <row r="20" spans="2:11" s="66" customFormat="1" ht="29.25" customHeight="1" thickBot="1">
      <c r="B20" s="287"/>
      <c r="C20" s="290"/>
      <c r="D20" s="67" t="s">
        <v>129</v>
      </c>
      <c r="E20" s="205">
        <v>180597.62</v>
      </c>
      <c r="F20" s="331"/>
      <c r="G20" s="210">
        <f>IF(E19=0,"n.a.",(E20/E19-1)*100)</f>
        <v>146.5496518771331</v>
      </c>
      <c r="H20" s="311"/>
      <c r="I20" s="312"/>
      <c r="J20" s="179"/>
      <c r="K20" s="179"/>
    </row>
    <row r="21" spans="2:11" s="66" customFormat="1" ht="53.25" customHeight="1" thickTop="1">
      <c r="B21" s="287"/>
      <c r="C21" s="290"/>
      <c r="D21" s="70" t="s">
        <v>120</v>
      </c>
      <c r="E21" s="204">
        <v>3227573.81</v>
      </c>
      <c r="F21" s="327" t="s">
        <v>122</v>
      </c>
      <c r="G21" s="211">
        <f>+E22-E21</f>
        <v>-3046976.19</v>
      </c>
      <c r="H21" s="309" t="s">
        <v>147</v>
      </c>
      <c r="I21" s="310"/>
      <c r="J21" s="179">
        <f>141574.81-109695.05</f>
        <v>31879.759999999995</v>
      </c>
      <c r="K21" s="179"/>
    </row>
    <row r="22" spans="2:11" s="66" customFormat="1" ht="36" customHeight="1" thickBot="1">
      <c r="B22" s="287"/>
      <c r="C22" s="290"/>
      <c r="D22" s="73" t="s">
        <v>129</v>
      </c>
      <c r="E22" s="206">
        <v>180597.62</v>
      </c>
      <c r="F22" s="328"/>
      <c r="G22" s="214">
        <f>IF(E21=0,"n.a.",(E22/E21-1)*100)</f>
        <v>-94.404539427093695</v>
      </c>
      <c r="H22" s="311"/>
      <c r="I22" s="312"/>
      <c r="J22" s="179">
        <v>3085999</v>
      </c>
      <c r="K22" s="179">
        <f>+J21+J22-70902.57</f>
        <v>3046976.19</v>
      </c>
    </row>
    <row r="23" spans="2:11" s="66" customFormat="1" ht="37.5" customHeight="1" thickTop="1">
      <c r="B23" s="287"/>
      <c r="C23" s="322" t="s">
        <v>128</v>
      </c>
      <c r="D23" s="63" t="s">
        <v>70</v>
      </c>
      <c r="E23" s="204">
        <v>994039</v>
      </c>
      <c r="F23" s="332" t="s">
        <v>50</v>
      </c>
      <c r="G23" s="211">
        <f>+E24-E23</f>
        <v>-224524.18999999994</v>
      </c>
      <c r="H23" s="309" t="s">
        <v>142</v>
      </c>
      <c r="I23" s="310"/>
      <c r="J23" s="179"/>
      <c r="K23" s="179"/>
    </row>
    <row r="24" spans="2:11" s="66" customFormat="1" ht="29.25" customHeight="1" thickBot="1">
      <c r="B24" s="287"/>
      <c r="C24" s="290"/>
      <c r="D24" s="67" t="s">
        <v>129</v>
      </c>
      <c r="E24" s="205">
        <v>769514.81</v>
      </c>
      <c r="F24" s="331"/>
      <c r="G24" s="210">
        <f>IF(E23=0,"n.a.",(E24/E23-1)*100)</f>
        <v>-22.587060467446442</v>
      </c>
      <c r="H24" s="311"/>
      <c r="I24" s="312"/>
      <c r="J24" s="179"/>
      <c r="K24" s="179"/>
    </row>
    <row r="25" spans="2:11" s="66" customFormat="1" ht="53.25" customHeight="1" thickTop="1">
      <c r="B25" s="287"/>
      <c r="C25" s="290"/>
      <c r="D25" s="70" t="s">
        <v>120</v>
      </c>
      <c r="E25" s="204">
        <v>0</v>
      </c>
      <c r="F25" s="327" t="s">
        <v>122</v>
      </c>
      <c r="G25" s="211">
        <f>+E26-E25</f>
        <v>769514.81</v>
      </c>
      <c r="H25" s="309" t="s">
        <v>144</v>
      </c>
      <c r="I25" s="310"/>
      <c r="J25" s="179">
        <f>504635.53/617241.03*100</f>
        <v>81.756640513674213</v>
      </c>
      <c r="K25" s="179">
        <f>100-J25</f>
        <v>18.243359486325787</v>
      </c>
    </row>
    <row r="26" spans="2:11" s="66" customFormat="1" ht="36" customHeight="1" thickBot="1">
      <c r="B26" s="287"/>
      <c r="C26" s="291"/>
      <c r="D26" s="73" t="s">
        <v>129</v>
      </c>
      <c r="E26" s="206">
        <v>769514.81</v>
      </c>
      <c r="F26" s="328"/>
      <c r="G26" s="214" t="str">
        <f>IF(E25=0,"n.a.",(E26/E25-1)*100)</f>
        <v>n.a.</v>
      </c>
      <c r="H26" s="311"/>
      <c r="I26" s="312"/>
      <c r="J26" s="179">
        <v>617241.03</v>
      </c>
      <c r="K26" s="179">
        <v>504635.53</v>
      </c>
    </row>
    <row r="27" spans="2:11" s="66" customFormat="1" ht="29.25" customHeight="1" thickTop="1">
      <c r="B27" s="286" t="s">
        <v>41</v>
      </c>
      <c r="C27" s="296" t="s">
        <v>54</v>
      </c>
      <c r="D27" s="63" t="s">
        <v>70</v>
      </c>
      <c r="E27" s="204">
        <v>11002665</v>
      </c>
      <c r="F27" s="330" t="s">
        <v>50</v>
      </c>
      <c r="G27" s="211">
        <f t="shared" ref="G27" si="0">+E28-E27</f>
        <v>0</v>
      </c>
      <c r="H27" s="309"/>
      <c r="I27" s="310"/>
    </row>
    <row r="28" spans="2:11" s="66" customFormat="1" ht="29.25" customHeight="1" thickBot="1">
      <c r="B28" s="287"/>
      <c r="C28" s="290"/>
      <c r="D28" s="67" t="s">
        <v>129</v>
      </c>
      <c r="E28" s="206">
        <v>11002665</v>
      </c>
      <c r="F28" s="331"/>
      <c r="G28" s="214">
        <f t="shared" ref="G28" si="1">IF(E27=0,"n.a.",(E28/E27-1)*100)</f>
        <v>0</v>
      </c>
      <c r="H28" s="311"/>
      <c r="I28" s="312"/>
    </row>
    <row r="29" spans="2:11" s="66" customFormat="1" ht="50.25" customHeight="1" thickTop="1">
      <c r="B29" s="287"/>
      <c r="C29" s="290"/>
      <c r="D29" s="70" t="s">
        <v>120</v>
      </c>
      <c r="E29" s="204">
        <v>2500000</v>
      </c>
      <c r="F29" s="327" t="s">
        <v>122</v>
      </c>
      <c r="G29" s="211">
        <f t="shared" ref="G29" si="2">+E30-E29</f>
        <v>8502665</v>
      </c>
      <c r="H29" s="309" t="s">
        <v>145</v>
      </c>
      <c r="I29" s="310"/>
    </row>
    <row r="30" spans="2:11" s="66" customFormat="1" ht="47.25" customHeight="1" thickBot="1">
      <c r="B30" s="287"/>
      <c r="C30" s="291"/>
      <c r="D30" s="73" t="s">
        <v>129</v>
      </c>
      <c r="E30" s="206">
        <v>11002665</v>
      </c>
      <c r="F30" s="328"/>
      <c r="G30" s="214">
        <f t="shared" ref="G30" si="3">IF(E29=0,"n.a.",(E30/E29-1)*100)</f>
        <v>340.10660000000001</v>
      </c>
      <c r="H30" s="311"/>
      <c r="I30" s="312"/>
    </row>
    <row r="31" spans="2:11" s="66" customFormat="1" ht="29.25" customHeight="1" thickTop="1">
      <c r="B31" s="287"/>
      <c r="C31" s="296" t="s">
        <v>55</v>
      </c>
      <c r="D31" s="63" t="s">
        <v>70</v>
      </c>
      <c r="E31" s="207"/>
      <c r="F31" s="330" t="s">
        <v>50</v>
      </c>
      <c r="G31" s="215">
        <f>+E32-E31</f>
        <v>0</v>
      </c>
      <c r="H31" s="318"/>
      <c r="I31" s="316"/>
    </row>
    <row r="32" spans="2:11" s="66" customFormat="1" ht="32.25" customHeight="1">
      <c r="B32" s="287"/>
      <c r="C32" s="290"/>
      <c r="D32" s="67" t="s">
        <v>129</v>
      </c>
      <c r="E32" s="203"/>
      <c r="F32" s="331"/>
      <c r="G32" s="210" t="str">
        <f>IF(E31=0,"n.a.",(E32/E31-1)*100)</f>
        <v>n.a.</v>
      </c>
      <c r="H32" s="319"/>
      <c r="I32" s="317"/>
    </row>
    <row r="33" spans="2:9" s="66" customFormat="1" ht="46.5" customHeight="1">
      <c r="B33" s="287"/>
      <c r="C33" s="290"/>
      <c r="D33" s="70" t="s">
        <v>120</v>
      </c>
      <c r="E33" s="204"/>
      <c r="F33" s="327" t="s">
        <v>122</v>
      </c>
      <c r="G33" s="216">
        <f>+E34-E33</f>
        <v>0</v>
      </c>
      <c r="H33" s="320"/>
      <c r="I33" s="313"/>
    </row>
    <row r="34" spans="2:9" s="66" customFormat="1" ht="52.5" customHeight="1" thickBot="1">
      <c r="B34" s="288"/>
      <c r="C34" s="291"/>
      <c r="D34" s="73" t="s">
        <v>129</v>
      </c>
      <c r="E34" s="208"/>
      <c r="F34" s="328"/>
      <c r="G34" s="217" t="str">
        <f>IF(E33=0,"n.a.",(E34/E33-1)*100)</f>
        <v>n.a.</v>
      </c>
      <c r="H34" s="321"/>
      <c r="I34" s="314"/>
    </row>
    <row r="35" spans="2:9" s="66" customFormat="1" ht="29.25" hidden="1" customHeight="1" thickTop="1">
      <c r="B35" s="287" t="s">
        <v>42</v>
      </c>
      <c r="C35" s="290" t="s">
        <v>54</v>
      </c>
      <c r="D35" s="63" t="s">
        <v>70</v>
      </c>
      <c r="E35" s="76"/>
      <c r="F35" s="297" t="s">
        <v>50</v>
      </c>
      <c r="G35" s="77">
        <f>+E36-E35</f>
        <v>0</v>
      </c>
      <c r="H35" s="306"/>
      <c r="I35" s="315"/>
    </row>
    <row r="36" spans="2:9" s="66" customFormat="1" ht="29.25" hidden="1" customHeight="1">
      <c r="B36" s="287"/>
      <c r="C36" s="290"/>
      <c r="D36" s="67" t="s">
        <v>120</v>
      </c>
      <c r="E36" s="196"/>
      <c r="F36" s="293"/>
      <c r="G36" s="79" t="str">
        <f>IF(E35=0,"n.a.",(E36/E35-1)*100)</f>
        <v>n.a.</v>
      </c>
      <c r="H36" s="295"/>
      <c r="I36" s="285"/>
    </row>
    <row r="37" spans="2:9" s="66" customFormat="1" ht="43.5" hidden="1" customHeight="1">
      <c r="B37" s="287"/>
      <c r="C37" s="290"/>
      <c r="D37" s="70" t="s">
        <v>103</v>
      </c>
      <c r="E37" s="71"/>
      <c r="F37" s="307" t="s">
        <v>122</v>
      </c>
      <c r="G37" s="72">
        <f>+E38-E37</f>
        <v>0</v>
      </c>
      <c r="H37" s="300"/>
      <c r="I37" s="282"/>
    </row>
    <row r="38" spans="2:9" s="66" customFormat="1" ht="43.5" hidden="1" customHeight="1" thickBot="1">
      <c r="B38" s="288"/>
      <c r="C38" s="329"/>
      <c r="D38" s="73" t="s">
        <v>120</v>
      </c>
      <c r="E38" s="82"/>
      <c r="F38" s="308"/>
      <c r="G38" s="83" t="str">
        <f>IF(E37=0,"n.a.",(E38/E37-1)*100)</f>
        <v>n.a.</v>
      </c>
      <c r="H38" s="326"/>
      <c r="I38" s="305"/>
    </row>
    <row r="39" spans="2:9" ht="15" thickTop="1">
      <c r="C39" s="84" t="s">
        <v>51</v>
      </c>
    </row>
    <row r="40" spans="2:9" ht="14.25">
      <c r="C40" s="84" t="s">
        <v>44</v>
      </c>
    </row>
    <row r="41" spans="2:9" hidden="1"/>
    <row r="42" spans="2:9" hidden="1"/>
    <row r="43" spans="2:9" ht="9" hidden="1" customHeight="1" thickBot="1">
      <c r="C43" s="62"/>
      <c r="D43" s="62"/>
      <c r="E43" s="62"/>
      <c r="F43" s="62"/>
      <c r="G43" s="62"/>
    </row>
    <row r="44" spans="2:9" s="66" customFormat="1" ht="36" hidden="1" customHeight="1" thickTop="1">
      <c r="B44" s="286" t="s">
        <v>23</v>
      </c>
      <c r="C44" s="289" t="s">
        <v>52</v>
      </c>
      <c r="D44" s="63" t="s">
        <v>70</v>
      </c>
      <c r="E44" s="64"/>
      <c r="F44" s="292" t="s">
        <v>50</v>
      </c>
      <c r="G44" s="65">
        <f>+E45-E44</f>
        <v>0</v>
      </c>
      <c r="H44" s="294"/>
      <c r="I44" s="304"/>
    </row>
    <row r="45" spans="2:9" s="66" customFormat="1" ht="36" hidden="1" customHeight="1">
      <c r="B45" s="287"/>
      <c r="C45" s="290"/>
      <c r="D45" s="67" t="s">
        <v>103</v>
      </c>
      <c r="E45" s="68"/>
      <c r="F45" s="293"/>
      <c r="G45" s="69" t="str">
        <f>IF(E44=0,"n.a.",(E45/E44-1)*100)</f>
        <v>n.a.</v>
      </c>
      <c r="H45" s="295"/>
      <c r="I45" s="285"/>
    </row>
    <row r="46" spans="2:9" s="66" customFormat="1" ht="36" hidden="1" customHeight="1">
      <c r="B46" s="287"/>
      <c r="C46" s="290"/>
      <c r="D46" s="70" t="s">
        <v>69</v>
      </c>
      <c r="E46" s="71"/>
      <c r="F46" s="298">
        <v>2013</v>
      </c>
      <c r="G46" s="72">
        <f>+E47-E46</f>
        <v>0</v>
      </c>
      <c r="H46" s="300"/>
      <c r="I46" s="282"/>
    </row>
    <row r="47" spans="2:9" s="66" customFormat="1" ht="36" hidden="1" customHeight="1" thickBot="1">
      <c r="B47" s="287"/>
      <c r="C47" s="291"/>
      <c r="D47" s="73" t="s">
        <v>103</v>
      </c>
      <c r="E47" s="74"/>
      <c r="F47" s="299"/>
      <c r="G47" s="75" t="str">
        <f>IF(E46=0,"n.a.",(E47/E46-1)*100)</f>
        <v>n.a.</v>
      </c>
      <c r="H47" s="301"/>
      <c r="I47" s="283"/>
    </row>
    <row r="48" spans="2:9" s="66" customFormat="1" ht="29.25" hidden="1" customHeight="1" thickTop="1">
      <c r="B48" s="287"/>
      <c r="C48" s="296" t="s">
        <v>53</v>
      </c>
      <c r="D48" s="63" t="s">
        <v>70</v>
      </c>
      <c r="E48" s="80"/>
      <c r="F48" s="297" t="s">
        <v>50</v>
      </c>
      <c r="G48" s="81">
        <f>+E49-E48</f>
        <v>0</v>
      </c>
      <c r="H48" s="302"/>
      <c r="I48" s="284"/>
    </row>
    <row r="49" spans="2:9" s="66" customFormat="1" ht="29.25" hidden="1" customHeight="1">
      <c r="B49" s="287"/>
      <c r="C49" s="290"/>
      <c r="D49" s="67" t="s">
        <v>103</v>
      </c>
      <c r="E49" s="78"/>
      <c r="F49" s="293"/>
      <c r="G49" s="79" t="str">
        <f>IF(E48=0,"n.a.",(E49/E48-1)*100)</f>
        <v>n.a.</v>
      </c>
      <c r="H49" s="295"/>
      <c r="I49" s="285"/>
    </row>
    <row r="50" spans="2:9" s="66" customFormat="1" ht="43.5" hidden="1" customHeight="1">
      <c r="B50" s="287"/>
      <c r="C50" s="290"/>
      <c r="D50" s="70" t="s">
        <v>69</v>
      </c>
      <c r="E50" s="71"/>
      <c r="F50" s="298">
        <v>2013</v>
      </c>
      <c r="G50" s="72">
        <f>+E51-E50</f>
        <v>0</v>
      </c>
      <c r="H50" s="300"/>
      <c r="I50" s="282"/>
    </row>
    <row r="51" spans="2:9" s="66" customFormat="1" ht="43.5" hidden="1" customHeight="1" thickBot="1">
      <c r="B51" s="288"/>
      <c r="C51" s="291"/>
      <c r="D51" s="73" t="s">
        <v>103</v>
      </c>
      <c r="E51" s="74"/>
      <c r="F51" s="303"/>
      <c r="G51" s="75" t="str">
        <f>IF(E50=0,"n.a.",(E51/E50-1)*100)</f>
        <v>n.a.</v>
      </c>
      <c r="H51" s="301"/>
      <c r="I51" s="283"/>
    </row>
    <row r="58" spans="2:9" ht="18" customHeight="1"/>
    <row r="61" spans="2:9" ht="21" customHeight="1"/>
    <row r="62" spans="2:9" ht="23.25" customHeight="1"/>
  </sheetData>
  <mergeCells count="59">
    <mergeCell ref="H19:I20"/>
    <mergeCell ref="F21:F22"/>
    <mergeCell ref="H21:I22"/>
    <mergeCell ref="B11:B13"/>
    <mergeCell ref="C15:C18"/>
    <mergeCell ref="H15:I16"/>
    <mergeCell ref="H17:I18"/>
    <mergeCell ref="F19:F20"/>
    <mergeCell ref="F11:G11"/>
    <mergeCell ref="F12:F13"/>
    <mergeCell ref="F17:F18"/>
    <mergeCell ref="F15:F16"/>
    <mergeCell ref="D11:E11"/>
    <mergeCell ref="H11:I13"/>
    <mergeCell ref="D12:E13"/>
    <mergeCell ref="B15:B26"/>
    <mergeCell ref="B27:B34"/>
    <mergeCell ref="C23:C26"/>
    <mergeCell ref="C11:C13"/>
    <mergeCell ref="C19:C22"/>
    <mergeCell ref="H37:H38"/>
    <mergeCell ref="H23:I24"/>
    <mergeCell ref="F33:F34"/>
    <mergeCell ref="B35:B38"/>
    <mergeCell ref="C31:C34"/>
    <mergeCell ref="C35:C38"/>
    <mergeCell ref="F25:F26"/>
    <mergeCell ref="F29:F30"/>
    <mergeCell ref="F31:F32"/>
    <mergeCell ref="F27:F28"/>
    <mergeCell ref="F23:F24"/>
    <mergeCell ref="F35:F36"/>
    <mergeCell ref="I37:I38"/>
    <mergeCell ref="H35:H36"/>
    <mergeCell ref="F37:F38"/>
    <mergeCell ref="C27:C30"/>
    <mergeCell ref="H25:I26"/>
    <mergeCell ref="I33:I34"/>
    <mergeCell ref="I35:I36"/>
    <mergeCell ref="I31:I32"/>
    <mergeCell ref="H31:H32"/>
    <mergeCell ref="H33:H34"/>
    <mergeCell ref="H29:I30"/>
    <mergeCell ref="H27:I28"/>
    <mergeCell ref="I50:I51"/>
    <mergeCell ref="I48:I49"/>
    <mergeCell ref="B44:B51"/>
    <mergeCell ref="C44:C47"/>
    <mergeCell ref="F44:F45"/>
    <mergeCell ref="H44:H45"/>
    <mergeCell ref="C48:C51"/>
    <mergeCell ref="F48:F49"/>
    <mergeCell ref="F46:F47"/>
    <mergeCell ref="H46:H47"/>
    <mergeCell ref="H48:H49"/>
    <mergeCell ref="F50:F51"/>
    <mergeCell ref="H50:H51"/>
    <mergeCell ref="I46:I47"/>
    <mergeCell ref="I44:I45"/>
  </mergeCells>
  <phoneticPr fontId="4" type="noConversion"/>
  <conditionalFormatting sqref="E48:E50 E44:E46">
    <cfRule type="cellIs" dxfId="10" priority="11" stopIfTrue="1" operator="notEqual">
      <formula>#REF!+#REF!+#REF!+#REF!+#REF!</formula>
    </cfRule>
  </conditionalFormatting>
  <conditionalFormatting sqref="E35:E37">
    <cfRule type="cellIs" dxfId="9" priority="10" stopIfTrue="1" operator="notEqual">
      <formula>#REF!+#REF!+#REF!+#REF!+#REF!</formula>
    </cfRule>
  </conditionalFormatting>
  <conditionalFormatting sqref="E31:E33 E15:E16">
    <cfRule type="cellIs" dxfId="8" priority="9" stopIfTrue="1" operator="notEqual">
      <formula>#REF!+#REF!+#REF!+#REF!+#REF!</formula>
    </cfRule>
  </conditionalFormatting>
  <conditionalFormatting sqref="E17:E18">
    <cfRule type="cellIs" dxfId="7" priority="8" stopIfTrue="1" operator="notEqual">
      <formula>#REF!+#REF!+#REF!+#REF!+#REF!</formula>
    </cfRule>
  </conditionalFormatting>
  <conditionalFormatting sqref="E23">
    <cfRule type="cellIs" dxfId="6" priority="7" stopIfTrue="1" operator="notEqual">
      <formula>#REF!+#REF!+#REF!+#REF!+#REF!</formula>
    </cfRule>
  </conditionalFormatting>
  <conditionalFormatting sqref="E24">
    <cfRule type="cellIs" dxfId="5" priority="6" stopIfTrue="1" operator="notEqual">
      <formula>#REF!+#REF!+#REF!+#REF!+#REF!</formula>
    </cfRule>
  </conditionalFormatting>
  <conditionalFormatting sqref="E25">
    <cfRule type="cellIs" dxfId="4" priority="5" stopIfTrue="1" operator="notEqual">
      <formula>#REF!+#REF!+#REF!+#REF!+#REF!</formula>
    </cfRule>
  </conditionalFormatting>
  <conditionalFormatting sqref="E27 E29">
    <cfRule type="cellIs" dxfId="3" priority="4" stopIfTrue="1" operator="notEqual">
      <formula>#REF!+#REF!+#REF!+#REF!+#REF!</formula>
    </cfRule>
  </conditionalFormatting>
  <conditionalFormatting sqref="E19">
    <cfRule type="cellIs" dxfId="2" priority="3" stopIfTrue="1" operator="notEqual">
      <formula>#REF!+#REF!+#REF!+#REF!+#REF!</formula>
    </cfRule>
  </conditionalFormatting>
  <conditionalFormatting sqref="E20">
    <cfRule type="cellIs" dxfId="1" priority="2" stopIfTrue="1" operator="notEqual">
      <formula>#REF!+#REF!+#REF!+#REF!+#REF!</formula>
    </cfRule>
  </conditionalFormatting>
  <conditionalFormatting sqref="E21">
    <cfRule type="cellIs" dxfId="0" priority="1" stopIfTrue="1" operator="notEqual">
      <formula>#REF!+#REF!+#REF!+#REF!+#REF!</formula>
    </cfRule>
  </conditionalFormatting>
  <printOptions horizontalCentered="1" verticalCentered="1"/>
  <pageMargins left="0" right="0" top="0.19685039370078741" bottom="0.19685039370078741" header="0" footer="0"/>
  <pageSetup scale="4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E3:T100"/>
  <sheetViews>
    <sheetView showGridLines="0" view="pageBreakPreview" topLeftCell="A31" zoomScale="70" zoomScaleSheetLayoutView="70" workbookViewId="0">
      <selection activeCell="L71" sqref="L71"/>
    </sheetView>
  </sheetViews>
  <sheetFormatPr baseColWidth="10" defaultRowHeight="12.75"/>
  <cols>
    <col min="1" max="4" width="3" style="1" customWidth="1"/>
    <col min="5" max="5" width="42.7109375" style="1" customWidth="1"/>
    <col min="6" max="14" width="17.7109375" style="1" bestFit="1" customWidth="1"/>
    <col min="15" max="15" width="17.7109375" style="1" customWidth="1"/>
    <col min="16" max="17" width="17.7109375" style="1" bestFit="1" customWidth="1"/>
    <col min="18" max="18" width="19.28515625" style="1" customWidth="1"/>
    <col min="19" max="19" width="17.140625" style="1" customWidth="1"/>
    <col min="20" max="20" width="20" style="1" bestFit="1" customWidth="1"/>
    <col min="21" max="16384" width="11.42578125" style="1"/>
  </cols>
  <sheetData>
    <row r="3" spans="5:20" s="86" customFormat="1" ht="21.75">
      <c r="E3" s="85"/>
    </row>
    <row r="4" spans="5:20" s="86" customFormat="1" ht="21.75">
      <c r="E4" s="85"/>
    </row>
    <row r="5" spans="5:20" s="86" customFormat="1" ht="42" customHeight="1">
      <c r="E5" s="85"/>
    </row>
    <row r="6" spans="5:20" s="86" customFormat="1" ht="19.5">
      <c r="E6" s="197" t="s">
        <v>131</v>
      </c>
    </row>
    <row r="7" spans="5:20" s="86" customFormat="1" ht="19.5">
      <c r="E7" s="198" t="s">
        <v>112</v>
      </c>
      <c r="O7" s="177"/>
      <c r="P7" s="269" t="s">
        <v>64</v>
      </c>
      <c r="Q7" s="269"/>
      <c r="R7" s="269"/>
    </row>
    <row r="8" spans="5:20" s="86" customFormat="1" ht="19.5">
      <c r="E8" s="198" t="s">
        <v>75</v>
      </c>
      <c r="P8" s="269"/>
      <c r="Q8" s="269"/>
      <c r="R8" s="269"/>
    </row>
    <row r="9" spans="5:20" ht="15.75" customHeight="1">
      <c r="E9" s="198" t="s">
        <v>76</v>
      </c>
    </row>
    <row r="10" spans="5:20" ht="15.75" customHeight="1">
      <c r="E10" s="198" t="s">
        <v>77</v>
      </c>
      <c r="G10" s="200"/>
    </row>
    <row r="11" spans="5:20" ht="6" customHeight="1" thickBot="1">
      <c r="E11" s="87"/>
    </row>
    <row r="12" spans="5:20" s="4" customFormat="1" ht="29.25" customHeight="1" thickTop="1" thickBot="1">
      <c r="E12" s="199" t="s">
        <v>59</v>
      </c>
      <c r="F12" s="199" t="s">
        <v>0</v>
      </c>
      <c r="G12" s="199" t="s">
        <v>1</v>
      </c>
      <c r="H12" s="199" t="s">
        <v>2</v>
      </c>
      <c r="I12" s="199" t="s">
        <v>3</v>
      </c>
      <c r="J12" s="199" t="s">
        <v>4</v>
      </c>
      <c r="K12" s="199" t="s">
        <v>5</v>
      </c>
      <c r="L12" s="199" t="s">
        <v>6</v>
      </c>
      <c r="M12" s="199" t="s">
        <v>7</v>
      </c>
      <c r="N12" s="199" t="s">
        <v>8</v>
      </c>
      <c r="O12" s="199" t="s">
        <v>9</v>
      </c>
      <c r="P12" s="199" t="s">
        <v>10</v>
      </c>
      <c r="Q12" s="199" t="s">
        <v>11</v>
      </c>
      <c r="R12" s="199" t="s">
        <v>12</v>
      </c>
    </row>
    <row r="13" spans="5:20" s="4" customFormat="1" ht="24.75" customHeight="1" thickTop="1">
      <c r="E13" s="103" t="s">
        <v>97</v>
      </c>
      <c r="F13" s="104">
        <f t="shared" ref="F13:Q13" si="0">+F14+F45</f>
        <v>5015278</v>
      </c>
      <c r="G13" s="104">
        <f t="shared" si="0"/>
        <v>6777004</v>
      </c>
      <c r="H13" s="104">
        <f t="shared" si="0"/>
        <v>6808029</v>
      </c>
      <c r="I13" s="104">
        <f t="shared" si="0"/>
        <v>6629133</v>
      </c>
      <c r="J13" s="104">
        <f t="shared" si="0"/>
        <v>6619634</v>
      </c>
      <c r="K13" s="104">
        <f t="shared" si="0"/>
        <v>6648346</v>
      </c>
      <c r="L13" s="104">
        <f t="shared" si="0"/>
        <v>7048145</v>
      </c>
      <c r="M13" s="104">
        <f t="shared" si="0"/>
        <v>6686839</v>
      </c>
      <c r="N13" s="104">
        <f t="shared" si="0"/>
        <v>6488301</v>
      </c>
      <c r="O13" s="104">
        <f t="shared" si="0"/>
        <v>6918669</v>
      </c>
      <c r="P13" s="104">
        <f t="shared" si="0"/>
        <v>6587730</v>
      </c>
      <c r="Q13" s="104">
        <f t="shared" si="0"/>
        <v>10782093</v>
      </c>
      <c r="R13" s="104">
        <f>SUM(F13:Q13)</f>
        <v>83009201</v>
      </c>
      <c r="S13" s="50"/>
      <c r="T13" s="50"/>
    </row>
    <row r="14" spans="5:20" s="4" customFormat="1" ht="20.100000000000001" customHeight="1">
      <c r="E14" s="92" t="s">
        <v>89</v>
      </c>
      <c r="F14" s="105">
        <f t="shared" ref="F14:Q14" si="1">+F15+F35+F42</f>
        <v>5015278</v>
      </c>
      <c r="G14" s="105">
        <f t="shared" si="1"/>
        <v>6777004</v>
      </c>
      <c r="H14" s="105">
        <f t="shared" si="1"/>
        <v>6808029</v>
      </c>
      <c r="I14" s="105">
        <f t="shared" si="1"/>
        <v>6629133</v>
      </c>
      <c r="J14" s="105">
        <f t="shared" si="1"/>
        <v>6619634</v>
      </c>
      <c r="K14" s="105">
        <f t="shared" si="1"/>
        <v>6648346</v>
      </c>
      <c r="L14" s="105">
        <f t="shared" si="1"/>
        <v>7048145</v>
      </c>
      <c r="M14" s="105">
        <f t="shared" si="1"/>
        <v>6686839</v>
      </c>
      <c r="N14" s="105">
        <f t="shared" si="1"/>
        <v>6488301</v>
      </c>
      <c r="O14" s="105">
        <f t="shared" si="1"/>
        <v>6918669</v>
      </c>
      <c r="P14" s="105">
        <f t="shared" si="1"/>
        <v>6587730</v>
      </c>
      <c r="Q14" s="105">
        <f t="shared" si="1"/>
        <v>10782093</v>
      </c>
      <c r="R14" s="105">
        <f>SUM(F14:Q14)</f>
        <v>83009201</v>
      </c>
      <c r="S14" s="50"/>
      <c r="T14" s="50"/>
    </row>
    <row r="15" spans="5:20" s="4" customFormat="1" ht="25.5" customHeight="1">
      <c r="E15" s="106" t="s">
        <v>90</v>
      </c>
      <c r="F15" s="107">
        <f t="shared" ref="F15:Q15" si="2">+F16+F18+F23+F26+F29</f>
        <v>5015278</v>
      </c>
      <c r="G15" s="107">
        <f t="shared" si="2"/>
        <v>4616471</v>
      </c>
      <c r="H15" s="107">
        <f t="shared" si="2"/>
        <v>4597496</v>
      </c>
      <c r="I15" s="107">
        <f t="shared" si="2"/>
        <v>4418600</v>
      </c>
      <c r="J15" s="107">
        <f t="shared" si="2"/>
        <v>4409101</v>
      </c>
      <c r="K15" s="107">
        <f t="shared" si="2"/>
        <v>4437813</v>
      </c>
      <c r="L15" s="107">
        <f t="shared" si="2"/>
        <v>4837612</v>
      </c>
      <c r="M15" s="107">
        <f t="shared" si="2"/>
        <v>4476306</v>
      </c>
      <c r="N15" s="107">
        <f t="shared" si="2"/>
        <v>4277768</v>
      </c>
      <c r="O15" s="107">
        <f t="shared" si="2"/>
        <v>4708136</v>
      </c>
      <c r="P15" s="107">
        <f t="shared" si="2"/>
        <v>4377197</v>
      </c>
      <c r="Q15" s="107">
        <f t="shared" si="2"/>
        <v>5185140</v>
      </c>
      <c r="R15" s="107">
        <f>SUM(F15:Q15)</f>
        <v>55356918</v>
      </c>
      <c r="S15" s="108"/>
      <c r="T15" s="104"/>
    </row>
    <row r="16" spans="5:20" s="4" customFormat="1" ht="20.100000000000001" customHeight="1">
      <c r="E16" s="109" t="s">
        <v>14</v>
      </c>
      <c r="F16" s="110">
        <f>SUM(F17:F17)</f>
        <v>0</v>
      </c>
      <c r="G16" s="110">
        <f t="shared" ref="G16:Q16" si="3">SUM(G17:G17)</f>
        <v>0</v>
      </c>
      <c r="H16" s="110">
        <f t="shared" si="3"/>
        <v>0</v>
      </c>
      <c r="I16" s="110">
        <f t="shared" si="3"/>
        <v>0</v>
      </c>
      <c r="J16" s="110">
        <f t="shared" si="3"/>
        <v>0</v>
      </c>
      <c r="K16" s="110">
        <f t="shared" si="3"/>
        <v>0</v>
      </c>
      <c r="L16" s="110">
        <f t="shared" si="3"/>
        <v>0</v>
      </c>
      <c r="M16" s="110">
        <f t="shared" si="3"/>
        <v>0</v>
      </c>
      <c r="N16" s="110">
        <f t="shared" si="3"/>
        <v>0</v>
      </c>
      <c r="O16" s="110">
        <f t="shared" si="3"/>
        <v>0</v>
      </c>
      <c r="P16" s="110">
        <f t="shared" si="3"/>
        <v>0</v>
      </c>
      <c r="Q16" s="110">
        <f t="shared" si="3"/>
        <v>0</v>
      </c>
      <c r="R16" s="110">
        <f>SUM(F16:Q16)</f>
        <v>0</v>
      </c>
      <c r="S16" s="50"/>
      <c r="T16" s="50"/>
    </row>
    <row r="17" spans="5:20" s="4" customFormat="1" ht="20.100000000000001" customHeight="1">
      <c r="E17" s="109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50"/>
      <c r="T17" s="50"/>
    </row>
    <row r="18" spans="5:20" s="4" customFormat="1" ht="20.100000000000001" customHeight="1">
      <c r="E18" s="109" t="s">
        <v>15</v>
      </c>
      <c r="F18" s="107">
        <f t="shared" ref="F18:Q18" si="4">SUM(F19:F21)</f>
        <v>4818510</v>
      </c>
      <c r="G18" s="107">
        <f t="shared" si="4"/>
        <v>4436810</v>
      </c>
      <c r="H18" s="107">
        <f t="shared" si="4"/>
        <v>4419240</v>
      </c>
      <c r="I18" s="107">
        <f t="shared" si="4"/>
        <v>4248280</v>
      </c>
      <c r="J18" s="107">
        <f t="shared" si="4"/>
        <v>4238790</v>
      </c>
      <c r="K18" s="107">
        <f t="shared" si="4"/>
        <v>4265840</v>
      </c>
      <c r="L18" s="107">
        <f t="shared" si="4"/>
        <v>4649010</v>
      </c>
      <c r="M18" s="107">
        <f t="shared" si="4"/>
        <v>4298890</v>
      </c>
      <c r="N18" s="107">
        <f t="shared" si="4"/>
        <v>4113350</v>
      </c>
      <c r="O18" s="107">
        <f t="shared" si="4"/>
        <v>4522690</v>
      </c>
      <c r="P18" s="107">
        <f t="shared" si="4"/>
        <v>4192860</v>
      </c>
      <c r="Q18" s="107">
        <f t="shared" si="4"/>
        <v>4960370</v>
      </c>
      <c r="R18" s="107">
        <f>SUM(R19:R21)</f>
        <v>53164640</v>
      </c>
      <c r="S18" s="50"/>
      <c r="T18" s="50"/>
    </row>
    <row r="19" spans="5:20" s="4" customFormat="1" ht="20.100000000000001" customHeight="1">
      <c r="E19" s="118" t="s">
        <v>106</v>
      </c>
      <c r="F19" s="110">
        <v>4102950</v>
      </c>
      <c r="G19" s="110">
        <v>3718780</v>
      </c>
      <c r="H19" s="110">
        <v>3702480</v>
      </c>
      <c r="I19" s="110">
        <v>3530020</v>
      </c>
      <c r="J19" s="110">
        <v>3521140</v>
      </c>
      <c r="K19" s="110">
        <v>3550650</v>
      </c>
      <c r="L19" s="110">
        <v>3928670</v>
      </c>
      <c r="M19" s="110">
        <v>3583780</v>
      </c>
      <c r="N19" s="110">
        <v>3397270</v>
      </c>
      <c r="O19" s="110">
        <v>3806020</v>
      </c>
      <c r="P19" s="110">
        <v>3468780</v>
      </c>
      <c r="Q19" s="110">
        <v>4241840</v>
      </c>
      <c r="R19" s="110">
        <f>SUM(F19:Q19)</f>
        <v>44552380</v>
      </c>
      <c r="S19" s="50"/>
      <c r="T19" s="50"/>
    </row>
    <row r="20" spans="5:20" s="4" customFormat="1" ht="20.100000000000001" customHeight="1">
      <c r="E20" s="118" t="s">
        <v>107</v>
      </c>
      <c r="F20" s="110">
        <v>193560</v>
      </c>
      <c r="G20" s="110">
        <v>196030</v>
      </c>
      <c r="H20" s="110">
        <v>194760</v>
      </c>
      <c r="I20" s="110">
        <v>196260</v>
      </c>
      <c r="J20" s="110">
        <v>195650</v>
      </c>
      <c r="K20" s="110">
        <v>193190</v>
      </c>
      <c r="L20" s="110">
        <v>198340</v>
      </c>
      <c r="M20" s="110">
        <v>193110</v>
      </c>
      <c r="N20" s="110">
        <v>194080</v>
      </c>
      <c r="O20" s="110">
        <v>194670</v>
      </c>
      <c r="P20" s="110">
        <v>202080</v>
      </c>
      <c r="Q20" s="110">
        <v>196530</v>
      </c>
      <c r="R20" s="110">
        <f>SUM(F20:Q20)</f>
        <v>2348260</v>
      </c>
      <c r="S20" s="50"/>
      <c r="T20" s="50"/>
    </row>
    <row r="21" spans="5:20" s="4" customFormat="1" ht="20.100000000000001" customHeight="1">
      <c r="E21" s="118" t="s">
        <v>110</v>
      </c>
      <c r="F21" s="110">
        <v>522000</v>
      </c>
      <c r="G21" s="110">
        <v>522000</v>
      </c>
      <c r="H21" s="110">
        <v>522000</v>
      </c>
      <c r="I21" s="110">
        <v>522000</v>
      </c>
      <c r="J21" s="110">
        <v>522000</v>
      </c>
      <c r="K21" s="110">
        <v>522000</v>
      </c>
      <c r="L21" s="110">
        <v>522000</v>
      </c>
      <c r="M21" s="110">
        <v>522000</v>
      </c>
      <c r="N21" s="110">
        <v>522000</v>
      </c>
      <c r="O21" s="110">
        <v>522000</v>
      </c>
      <c r="P21" s="110">
        <v>522000</v>
      </c>
      <c r="Q21" s="110">
        <v>522000</v>
      </c>
      <c r="R21" s="110">
        <f>SUM(F21:Q21)</f>
        <v>6264000</v>
      </c>
      <c r="S21" s="50"/>
      <c r="T21" s="50"/>
    </row>
    <row r="22" spans="5:20" s="4" customFormat="1" ht="20.100000000000001" customHeight="1">
      <c r="E22" s="118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50"/>
      <c r="T22" s="50"/>
    </row>
    <row r="23" spans="5:20" s="4" customFormat="1" ht="26.25" customHeight="1">
      <c r="E23" s="112" t="s">
        <v>16</v>
      </c>
      <c r="F23" s="107">
        <f>+F24</f>
        <v>184768</v>
      </c>
      <c r="G23" s="107">
        <f t="shared" ref="G23:Q23" si="5">+G24</f>
        <v>167161</v>
      </c>
      <c r="H23" s="107">
        <f t="shared" si="5"/>
        <v>165956</v>
      </c>
      <c r="I23" s="107">
        <f t="shared" si="5"/>
        <v>158220</v>
      </c>
      <c r="J23" s="107">
        <f t="shared" si="5"/>
        <v>158111</v>
      </c>
      <c r="K23" s="107">
        <f t="shared" si="5"/>
        <v>159823</v>
      </c>
      <c r="L23" s="107">
        <f t="shared" si="5"/>
        <v>176302</v>
      </c>
      <c r="M23" s="107">
        <f t="shared" si="5"/>
        <v>160326</v>
      </c>
      <c r="N23" s="107">
        <f t="shared" si="5"/>
        <v>152118</v>
      </c>
      <c r="O23" s="107">
        <f t="shared" si="5"/>
        <v>170146</v>
      </c>
      <c r="P23" s="107">
        <f t="shared" si="5"/>
        <v>155337</v>
      </c>
      <c r="Q23" s="107">
        <f t="shared" si="5"/>
        <v>190620</v>
      </c>
      <c r="R23" s="107">
        <f>SUM(F23:Q23)</f>
        <v>1998888</v>
      </c>
      <c r="S23" s="50"/>
      <c r="T23" s="50"/>
    </row>
    <row r="24" spans="5:20" s="4" customFormat="1" ht="20.100000000000001" customHeight="1">
      <c r="E24" s="118" t="s">
        <v>105</v>
      </c>
      <c r="F24" s="111">
        <v>184768</v>
      </c>
      <c r="G24" s="111">
        <v>167161</v>
      </c>
      <c r="H24" s="111">
        <v>165956</v>
      </c>
      <c r="I24" s="111">
        <v>158220</v>
      </c>
      <c r="J24" s="111">
        <v>158111</v>
      </c>
      <c r="K24" s="111">
        <v>159823</v>
      </c>
      <c r="L24" s="111">
        <v>176302</v>
      </c>
      <c r="M24" s="111">
        <v>160326</v>
      </c>
      <c r="N24" s="111">
        <v>152118</v>
      </c>
      <c r="O24" s="111">
        <v>170146</v>
      </c>
      <c r="P24" s="111">
        <v>155337</v>
      </c>
      <c r="Q24" s="111">
        <v>190620</v>
      </c>
      <c r="R24" s="110">
        <f>SUM(F24:Q24)</f>
        <v>1998888</v>
      </c>
      <c r="S24" s="50"/>
      <c r="T24" s="50"/>
    </row>
    <row r="25" spans="5:20" s="4" customFormat="1" ht="20.100000000000001" customHeight="1">
      <c r="E25" s="112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50"/>
      <c r="T25" s="50"/>
    </row>
    <row r="26" spans="5:20" s="4" customFormat="1" ht="22.5" customHeight="1">
      <c r="E26" s="109" t="s">
        <v>17</v>
      </c>
      <c r="F26" s="107">
        <f>+F27+F32</f>
        <v>12000</v>
      </c>
      <c r="G26" s="107">
        <f t="shared" ref="G26:Q26" si="6">+G27+G32</f>
        <v>12500</v>
      </c>
      <c r="H26" s="107">
        <f t="shared" si="6"/>
        <v>12300</v>
      </c>
      <c r="I26" s="107">
        <f t="shared" si="6"/>
        <v>12100</v>
      </c>
      <c r="J26" s="107">
        <f t="shared" si="6"/>
        <v>12200</v>
      </c>
      <c r="K26" s="107">
        <f t="shared" si="6"/>
        <v>12150</v>
      </c>
      <c r="L26" s="107">
        <f t="shared" si="6"/>
        <v>12300</v>
      </c>
      <c r="M26" s="107">
        <f t="shared" si="6"/>
        <v>17090</v>
      </c>
      <c r="N26" s="107">
        <f t="shared" si="6"/>
        <v>12300</v>
      </c>
      <c r="O26" s="107">
        <f t="shared" si="6"/>
        <v>15300</v>
      </c>
      <c r="P26" s="107">
        <f t="shared" si="6"/>
        <v>29000</v>
      </c>
      <c r="Q26" s="107">
        <f t="shared" si="6"/>
        <v>34150</v>
      </c>
      <c r="R26" s="107">
        <f>+R27+R32</f>
        <v>193390</v>
      </c>
      <c r="S26" s="50"/>
      <c r="T26" s="50"/>
    </row>
    <row r="27" spans="5:20" s="4" customFormat="1" ht="30" customHeight="1">
      <c r="E27" s="118" t="s">
        <v>109</v>
      </c>
      <c r="F27" s="110">
        <v>12000</v>
      </c>
      <c r="G27" s="110">
        <v>12500</v>
      </c>
      <c r="H27" s="110">
        <v>12300</v>
      </c>
      <c r="I27" s="110">
        <v>12100</v>
      </c>
      <c r="J27" s="110">
        <v>12200</v>
      </c>
      <c r="K27" s="110">
        <v>12150</v>
      </c>
      <c r="L27" s="110">
        <v>12300</v>
      </c>
      <c r="M27" s="110">
        <v>17090</v>
      </c>
      <c r="N27" s="110">
        <v>12300</v>
      </c>
      <c r="O27" s="110">
        <v>15300</v>
      </c>
      <c r="P27" s="110">
        <v>29000</v>
      </c>
      <c r="Q27" s="110">
        <v>34150</v>
      </c>
      <c r="R27" s="110">
        <f>SUM(F27:Q27)</f>
        <v>193390</v>
      </c>
      <c r="S27" s="50"/>
      <c r="T27" s="50"/>
    </row>
    <row r="28" spans="5:20" s="4" customFormat="1" ht="20.100000000000001" customHeight="1">
      <c r="E28" s="113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50"/>
      <c r="T28" s="50"/>
    </row>
    <row r="29" spans="5:20" s="50" customFormat="1" ht="20.100000000000001" customHeight="1">
      <c r="E29" s="109" t="s">
        <v>26</v>
      </c>
      <c r="F29" s="111">
        <f t="shared" ref="F29:Q29" si="7">+F30+F31</f>
        <v>0</v>
      </c>
      <c r="G29" s="111">
        <f t="shared" si="7"/>
        <v>0</v>
      </c>
      <c r="H29" s="111">
        <f t="shared" si="7"/>
        <v>0</v>
      </c>
      <c r="I29" s="111">
        <f t="shared" si="7"/>
        <v>0</v>
      </c>
      <c r="J29" s="111">
        <f t="shared" si="7"/>
        <v>0</v>
      </c>
      <c r="K29" s="111">
        <f t="shared" si="7"/>
        <v>0</v>
      </c>
      <c r="L29" s="111">
        <f t="shared" si="7"/>
        <v>0</v>
      </c>
      <c r="M29" s="111">
        <f t="shared" si="7"/>
        <v>0</v>
      </c>
      <c r="N29" s="111">
        <f t="shared" si="7"/>
        <v>0</v>
      </c>
      <c r="O29" s="111">
        <f t="shared" si="7"/>
        <v>0</v>
      </c>
      <c r="P29" s="111">
        <f t="shared" si="7"/>
        <v>0</v>
      </c>
      <c r="Q29" s="111">
        <f t="shared" si="7"/>
        <v>0</v>
      </c>
      <c r="R29" s="111">
        <f t="shared" ref="R29:R37" si="8">SUM(F29:Q29)</f>
        <v>0</v>
      </c>
    </row>
    <row r="30" spans="5:20" s="4" customFormat="1" ht="20.100000000000001" customHeight="1">
      <c r="E30" s="114" t="s">
        <v>101</v>
      </c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>
        <f t="shared" si="8"/>
        <v>0</v>
      </c>
      <c r="S30" s="50"/>
      <c r="T30" s="50"/>
    </row>
    <row r="31" spans="5:20" s="4" customFormat="1" ht="20.25" customHeight="1">
      <c r="E31" s="114" t="s">
        <v>100</v>
      </c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>
        <f t="shared" si="8"/>
        <v>0</v>
      </c>
      <c r="S31" s="50"/>
      <c r="T31" s="50"/>
    </row>
    <row r="32" spans="5:20" s="4" customFormat="1" ht="27" customHeight="1">
      <c r="E32" s="109" t="s">
        <v>94</v>
      </c>
      <c r="F32" s="104">
        <f>SUM(F33:F34)</f>
        <v>0</v>
      </c>
      <c r="G32" s="104">
        <f t="shared" ref="G32:Q32" si="9">SUM(G33:G34)</f>
        <v>0</v>
      </c>
      <c r="H32" s="104">
        <f t="shared" si="9"/>
        <v>0</v>
      </c>
      <c r="I32" s="104">
        <f t="shared" si="9"/>
        <v>0</v>
      </c>
      <c r="J32" s="104">
        <f t="shared" si="9"/>
        <v>0</v>
      </c>
      <c r="K32" s="104">
        <f t="shared" si="9"/>
        <v>0</v>
      </c>
      <c r="L32" s="104">
        <f t="shared" si="9"/>
        <v>0</v>
      </c>
      <c r="M32" s="104">
        <f t="shared" si="9"/>
        <v>0</v>
      </c>
      <c r="N32" s="104">
        <f t="shared" si="9"/>
        <v>0</v>
      </c>
      <c r="O32" s="104">
        <f t="shared" si="9"/>
        <v>0</v>
      </c>
      <c r="P32" s="104">
        <f t="shared" si="9"/>
        <v>0</v>
      </c>
      <c r="Q32" s="104">
        <f t="shared" si="9"/>
        <v>0</v>
      </c>
      <c r="R32" s="104">
        <f t="shared" si="8"/>
        <v>0</v>
      </c>
      <c r="S32" s="50"/>
      <c r="T32" s="50"/>
    </row>
    <row r="33" spans="5:20" s="4" customFormat="1" ht="20.100000000000001" customHeight="1">
      <c r="E33" s="118" t="s">
        <v>60</v>
      </c>
      <c r="F33" s="110">
        <v>0</v>
      </c>
      <c r="G33" s="110">
        <v>0</v>
      </c>
      <c r="H33" s="110">
        <v>0</v>
      </c>
      <c r="I33" s="110">
        <v>0</v>
      </c>
      <c r="J33" s="110">
        <v>0</v>
      </c>
      <c r="K33" s="110">
        <v>0</v>
      </c>
      <c r="L33" s="110">
        <v>0</v>
      </c>
      <c r="M33" s="110">
        <v>0</v>
      </c>
      <c r="N33" s="110">
        <v>0</v>
      </c>
      <c r="O33" s="110">
        <v>0</v>
      </c>
      <c r="P33" s="110">
        <v>0</v>
      </c>
      <c r="Q33" s="110">
        <v>0</v>
      </c>
      <c r="R33" s="110">
        <f t="shared" si="8"/>
        <v>0</v>
      </c>
      <c r="S33" s="50"/>
      <c r="T33" s="50"/>
    </row>
    <row r="34" spans="5:20" s="4" customFormat="1" ht="20.100000000000001" customHeight="1">
      <c r="E34" s="115" t="s">
        <v>61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/>
      <c r="R34" s="111">
        <f t="shared" si="8"/>
        <v>0</v>
      </c>
      <c r="S34" s="50"/>
      <c r="T34" s="50"/>
    </row>
    <row r="35" spans="5:20" s="4" customFormat="1" ht="20.25" customHeight="1">
      <c r="E35" s="92" t="s">
        <v>102</v>
      </c>
      <c r="F35" s="105">
        <f>+F36+F39</f>
        <v>0</v>
      </c>
      <c r="G35" s="105">
        <f t="shared" ref="G35:Q35" si="10">+G36+G39</f>
        <v>2160533</v>
      </c>
      <c r="H35" s="105">
        <f t="shared" si="10"/>
        <v>2210533</v>
      </c>
      <c r="I35" s="105">
        <f t="shared" si="10"/>
        <v>2210533</v>
      </c>
      <c r="J35" s="105">
        <f t="shared" si="10"/>
        <v>2210533</v>
      </c>
      <c r="K35" s="105">
        <f t="shared" si="10"/>
        <v>2210533</v>
      </c>
      <c r="L35" s="105">
        <f t="shared" si="10"/>
        <v>2210533</v>
      </c>
      <c r="M35" s="105">
        <f t="shared" si="10"/>
        <v>2210533</v>
      </c>
      <c r="N35" s="105">
        <f t="shared" si="10"/>
        <v>2210533</v>
      </c>
      <c r="O35" s="105">
        <f t="shared" si="10"/>
        <v>2210533</v>
      </c>
      <c r="P35" s="105">
        <f t="shared" si="10"/>
        <v>2210533</v>
      </c>
      <c r="Q35" s="105">
        <f t="shared" si="10"/>
        <v>5596953</v>
      </c>
      <c r="R35" s="105">
        <f t="shared" si="8"/>
        <v>27652283</v>
      </c>
      <c r="S35" s="50"/>
      <c r="T35" s="50"/>
    </row>
    <row r="36" spans="5:20" s="4" customFormat="1" ht="21" customHeight="1">
      <c r="E36" s="109" t="s">
        <v>18</v>
      </c>
      <c r="F36" s="111">
        <f>+F37+F38</f>
        <v>0</v>
      </c>
      <c r="G36" s="111">
        <f t="shared" ref="G36:Q36" si="11">+G37+G38</f>
        <v>2160533</v>
      </c>
      <c r="H36" s="111">
        <f t="shared" si="11"/>
        <v>2210533</v>
      </c>
      <c r="I36" s="111">
        <f t="shared" si="11"/>
        <v>2210533</v>
      </c>
      <c r="J36" s="111">
        <f t="shared" si="11"/>
        <v>2210533</v>
      </c>
      <c r="K36" s="111">
        <f t="shared" si="11"/>
        <v>2210533</v>
      </c>
      <c r="L36" s="111">
        <f t="shared" si="11"/>
        <v>2210533</v>
      </c>
      <c r="M36" s="111">
        <f t="shared" si="11"/>
        <v>2210533</v>
      </c>
      <c r="N36" s="111">
        <f t="shared" si="11"/>
        <v>2210533</v>
      </c>
      <c r="O36" s="111">
        <f t="shared" si="11"/>
        <v>2210533</v>
      </c>
      <c r="P36" s="111">
        <f t="shared" si="11"/>
        <v>2210533</v>
      </c>
      <c r="Q36" s="111">
        <f t="shared" si="11"/>
        <v>5596953</v>
      </c>
      <c r="R36" s="111">
        <f t="shared" si="8"/>
        <v>27652283</v>
      </c>
      <c r="S36" s="108"/>
      <c r="T36" s="108"/>
    </row>
    <row r="37" spans="5:20" s="4" customFormat="1" ht="20.100000000000001" customHeight="1">
      <c r="E37" s="116" t="s">
        <v>19</v>
      </c>
      <c r="F37" s="166">
        <v>0</v>
      </c>
      <c r="G37" s="166">
        <v>2160533</v>
      </c>
      <c r="H37" s="166">
        <v>2210533</v>
      </c>
      <c r="I37" s="166">
        <v>2210533</v>
      </c>
      <c r="J37" s="166">
        <v>2210533</v>
      </c>
      <c r="K37" s="166">
        <v>2210533</v>
      </c>
      <c r="L37" s="166">
        <v>2210533</v>
      </c>
      <c r="M37" s="166">
        <v>2210533</v>
      </c>
      <c r="N37" s="166">
        <v>2210533</v>
      </c>
      <c r="O37" s="166">
        <v>2210533</v>
      </c>
      <c r="P37" s="166">
        <v>2210533</v>
      </c>
      <c r="Q37" s="166">
        <v>5596953</v>
      </c>
      <c r="R37" s="125">
        <f t="shared" si="8"/>
        <v>27652283</v>
      </c>
      <c r="S37" s="50"/>
      <c r="T37" s="50"/>
    </row>
    <row r="38" spans="5:20" s="50" customFormat="1" ht="15" customHeight="1">
      <c r="E38" s="116" t="s">
        <v>20</v>
      </c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>
        <f t="shared" ref="R38:R48" si="12">SUM(F38:Q38)</f>
        <v>0</v>
      </c>
    </row>
    <row r="39" spans="5:20" s="50" customFormat="1" ht="15" customHeight="1">
      <c r="E39" s="109" t="s">
        <v>21</v>
      </c>
      <c r="F39" s="111">
        <f t="shared" ref="F39:Q39" si="13">+F40+F41</f>
        <v>0</v>
      </c>
      <c r="G39" s="111">
        <f t="shared" si="13"/>
        <v>0</v>
      </c>
      <c r="H39" s="111">
        <f t="shared" si="13"/>
        <v>0</v>
      </c>
      <c r="I39" s="111">
        <f t="shared" si="13"/>
        <v>0</v>
      </c>
      <c r="J39" s="111">
        <f t="shared" si="13"/>
        <v>0</v>
      </c>
      <c r="K39" s="111">
        <f t="shared" si="13"/>
        <v>0</v>
      </c>
      <c r="L39" s="111">
        <f t="shared" si="13"/>
        <v>0</v>
      </c>
      <c r="M39" s="111">
        <f t="shared" si="13"/>
        <v>0</v>
      </c>
      <c r="N39" s="111">
        <f t="shared" si="13"/>
        <v>0</v>
      </c>
      <c r="O39" s="111">
        <f t="shared" si="13"/>
        <v>0</v>
      </c>
      <c r="P39" s="111">
        <f t="shared" si="13"/>
        <v>0</v>
      </c>
      <c r="Q39" s="111">
        <f t="shared" si="13"/>
        <v>0</v>
      </c>
      <c r="R39" s="111">
        <f t="shared" si="12"/>
        <v>0</v>
      </c>
    </row>
    <row r="40" spans="5:20" s="50" customFormat="1" ht="20.100000000000001" customHeight="1">
      <c r="E40" s="116" t="s">
        <v>19</v>
      </c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>
        <f t="shared" si="12"/>
        <v>0</v>
      </c>
    </row>
    <row r="41" spans="5:20" s="50" customFormat="1" ht="15" customHeight="1">
      <c r="E41" s="116" t="s">
        <v>22</v>
      </c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>
        <f t="shared" si="12"/>
        <v>0</v>
      </c>
    </row>
    <row r="42" spans="5:20" s="50" customFormat="1" ht="15" customHeight="1">
      <c r="E42" s="92" t="s">
        <v>91</v>
      </c>
      <c r="F42" s="105">
        <f t="shared" ref="F42:Q42" si="14">+F43+F44</f>
        <v>0</v>
      </c>
      <c r="G42" s="105">
        <f t="shared" si="14"/>
        <v>0</v>
      </c>
      <c r="H42" s="105">
        <f t="shared" si="14"/>
        <v>0</v>
      </c>
      <c r="I42" s="105">
        <f t="shared" si="14"/>
        <v>0</v>
      </c>
      <c r="J42" s="105">
        <f t="shared" si="14"/>
        <v>0</v>
      </c>
      <c r="K42" s="105">
        <f t="shared" si="14"/>
        <v>0</v>
      </c>
      <c r="L42" s="105">
        <f t="shared" si="14"/>
        <v>0</v>
      </c>
      <c r="M42" s="105">
        <f t="shared" si="14"/>
        <v>0</v>
      </c>
      <c r="N42" s="105">
        <f t="shared" si="14"/>
        <v>0</v>
      </c>
      <c r="O42" s="105">
        <f t="shared" si="14"/>
        <v>0</v>
      </c>
      <c r="P42" s="105">
        <f t="shared" si="14"/>
        <v>0</v>
      </c>
      <c r="Q42" s="105">
        <f t="shared" si="14"/>
        <v>0</v>
      </c>
      <c r="R42" s="105">
        <f t="shared" si="12"/>
        <v>0</v>
      </c>
    </row>
    <row r="43" spans="5:20" s="4" customFormat="1" ht="18" customHeight="1">
      <c r="E43" s="118" t="s">
        <v>18</v>
      </c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>
        <f t="shared" si="12"/>
        <v>0</v>
      </c>
      <c r="S43" s="108"/>
      <c r="T43" s="108"/>
    </row>
    <row r="44" spans="5:20" s="4" customFormat="1" ht="20.100000000000001" customHeight="1">
      <c r="E44" s="118" t="s">
        <v>21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>
        <f t="shared" si="12"/>
        <v>0</v>
      </c>
      <c r="S44" s="50"/>
      <c r="T44" s="50"/>
    </row>
    <row r="45" spans="5:20" s="4" customFormat="1" ht="20.100000000000001" customHeight="1">
      <c r="E45" s="92" t="s">
        <v>92</v>
      </c>
      <c r="F45" s="105">
        <f>+F46</f>
        <v>0</v>
      </c>
      <c r="G45" s="105">
        <f t="shared" ref="G45:R45" si="15">+G46</f>
        <v>0</v>
      </c>
      <c r="H45" s="105">
        <f t="shared" si="15"/>
        <v>0</v>
      </c>
      <c r="I45" s="105">
        <f t="shared" si="15"/>
        <v>0</v>
      </c>
      <c r="J45" s="105">
        <f t="shared" si="15"/>
        <v>0</v>
      </c>
      <c r="K45" s="105">
        <f t="shared" si="15"/>
        <v>0</v>
      </c>
      <c r="L45" s="105">
        <f t="shared" si="15"/>
        <v>0</v>
      </c>
      <c r="M45" s="105">
        <f t="shared" si="15"/>
        <v>0</v>
      </c>
      <c r="N45" s="105">
        <f t="shared" si="15"/>
        <v>0</v>
      </c>
      <c r="O45" s="105">
        <f t="shared" si="15"/>
        <v>0</v>
      </c>
      <c r="P45" s="105">
        <f t="shared" si="15"/>
        <v>0</v>
      </c>
      <c r="Q45" s="105">
        <f t="shared" si="15"/>
        <v>0</v>
      </c>
      <c r="R45" s="105">
        <f t="shared" si="15"/>
        <v>0</v>
      </c>
      <c r="S45" s="50"/>
      <c r="T45" s="50"/>
    </row>
    <row r="46" spans="5:20" s="4" customFormat="1" ht="23.45" customHeight="1">
      <c r="E46" s="106" t="s">
        <v>93</v>
      </c>
      <c r="F46" s="104">
        <f t="shared" ref="F46:Q46" si="16">+F47-F48</f>
        <v>0</v>
      </c>
      <c r="G46" s="104">
        <f t="shared" si="16"/>
        <v>0</v>
      </c>
      <c r="H46" s="104">
        <f t="shared" si="16"/>
        <v>0</v>
      </c>
      <c r="I46" s="104">
        <f t="shared" si="16"/>
        <v>0</v>
      </c>
      <c r="J46" s="104">
        <f t="shared" si="16"/>
        <v>0</v>
      </c>
      <c r="K46" s="104">
        <f t="shared" si="16"/>
        <v>0</v>
      </c>
      <c r="L46" s="104">
        <f t="shared" si="16"/>
        <v>0</v>
      </c>
      <c r="M46" s="104">
        <f t="shared" si="16"/>
        <v>0</v>
      </c>
      <c r="N46" s="104">
        <f t="shared" si="16"/>
        <v>0</v>
      </c>
      <c r="O46" s="104">
        <f t="shared" si="16"/>
        <v>0</v>
      </c>
      <c r="P46" s="104">
        <f t="shared" si="16"/>
        <v>0</v>
      </c>
      <c r="Q46" s="104">
        <f t="shared" si="16"/>
        <v>0</v>
      </c>
      <c r="R46" s="104">
        <f t="shared" si="12"/>
        <v>0</v>
      </c>
      <c r="S46" s="50"/>
      <c r="T46" s="50"/>
    </row>
    <row r="47" spans="5:20" s="4" customFormat="1" ht="21.75" customHeight="1">
      <c r="E47" s="118" t="s">
        <v>24</v>
      </c>
      <c r="F47" s="111">
        <v>0</v>
      </c>
      <c r="G47" s="111">
        <v>0</v>
      </c>
      <c r="H47" s="111">
        <v>0</v>
      </c>
      <c r="I47" s="111">
        <v>0</v>
      </c>
      <c r="J47" s="111">
        <v>0</v>
      </c>
      <c r="K47" s="111">
        <v>0</v>
      </c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11"/>
      <c r="R47" s="111">
        <f t="shared" si="12"/>
        <v>0</v>
      </c>
      <c r="S47" s="108"/>
      <c r="T47" s="108"/>
    </row>
    <row r="48" spans="5:20" s="4" customFormat="1" ht="20.100000000000001" customHeight="1">
      <c r="E48" s="118" t="s">
        <v>25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/>
      <c r="R48" s="111">
        <f t="shared" si="12"/>
        <v>0</v>
      </c>
      <c r="S48" s="50"/>
      <c r="T48" s="50"/>
    </row>
    <row r="49" spans="5:20" s="4" customFormat="1" ht="14.25"/>
    <row r="50" spans="5:20" s="4" customFormat="1" ht="20.100000000000001" customHeight="1" thickBot="1">
      <c r="E50" s="119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11"/>
      <c r="T50" s="50"/>
    </row>
    <row r="51" spans="5:20" ht="13.5" thickTop="1">
      <c r="E51" s="1" t="s">
        <v>43</v>
      </c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89"/>
      <c r="T51" s="88"/>
    </row>
    <row r="52" spans="5:20">
      <c r="E52" s="1" t="s">
        <v>44</v>
      </c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</row>
    <row r="53" spans="5:20"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5:20"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</row>
    <row r="55" spans="5:20"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</row>
    <row r="56" spans="5:20"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</row>
    <row r="57" spans="5:20"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</row>
    <row r="58" spans="5:20"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</row>
    <row r="59" spans="5:20"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</row>
    <row r="60" spans="5:20"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</row>
    <row r="61" spans="5:20"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</row>
    <row r="62" spans="5:20" ht="15" customHeight="1"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</row>
    <row r="63" spans="5:20" ht="15.75" customHeight="1"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</row>
    <row r="64" spans="5:20" ht="45" customHeight="1"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</row>
    <row r="65" spans="6:18"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</row>
    <row r="66" spans="6:18"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</row>
    <row r="67" spans="6:18"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</row>
    <row r="68" spans="6:18"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</row>
    <row r="69" spans="6:18"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</row>
    <row r="70" spans="6:18"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</row>
    <row r="71" spans="6:18"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</row>
    <row r="72" spans="6:18"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</row>
    <row r="73" spans="6:18"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</row>
    <row r="74" spans="6:18"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</row>
    <row r="75" spans="6:18"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</row>
    <row r="76" spans="6:18"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</row>
    <row r="77" spans="6:18"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</row>
    <row r="78" spans="6:18"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</row>
    <row r="79" spans="6:18"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</row>
    <row r="80" spans="6:18"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</row>
    <row r="81" spans="6:18"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</row>
    <row r="82" spans="6:18"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</row>
    <row r="83" spans="6:18"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</row>
    <row r="84" spans="6:18"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</row>
    <row r="85" spans="6:18"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</row>
    <row r="86" spans="6:18"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</row>
    <row r="87" spans="6:18"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</row>
    <row r="88" spans="6:18"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</row>
    <row r="89" spans="6:18"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</row>
    <row r="90" spans="6:18"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</row>
    <row r="91" spans="6:18"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</row>
    <row r="92" spans="6:18"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</row>
    <row r="93" spans="6:18"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</row>
    <row r="94" spans="6:18"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</row>
    <row r="95" spans="6:18"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</row>
    <row r="96" spans="6:18"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</row>
    <row r="97" spans="6:18"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</row>
    <row r="98" spans="6:18"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</row>
    <row r="99" spans="6:18"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</row>
    <row r="100" spans="6:18"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</row>
  </sheetData>
  <mergeCells count="1">
    <mergeCell ref="P7:R8"/>
  </mergeCells>
  <phoneticPr fontId="0" type="noConversion"/>
  <printOptions horizontalCentered="1" verticalCentered="1"/>
  <pageMargins left="0.39370078740157483" right="0.27559055118110237" top="0.59055118110236227" bottom="0.39370078740157483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E3:T101"/>
  <sheetViews>
    <sheetView showGridLines="0" view="pageBreakPreview" topLeftCell="A34" zoomScale="70" zoomScaleSheetLayoutView="70" workbookViewId="0">
      <selection activeCell="K74" sqref="K74"/>
    </sheetView>
  </sheetViews>
  <sheetFormatPr baseColWidth="10" defaultRowHeight="12.75"/>
  <cols>
    <col min="1" max="4" width="3" style="1" customWidth="1"/>
    <col min="5" max="5" width="42.7109375" style="1" customWidth="1"/>
    <col min="6" max="14" width="17.7109375" style="1" bestFit="1" customWidth="1"/>
    <col min="15" max="15" width="17.7109375" style="1" customWidth="1"/>
    <col min="16" max="17" width="17.7109375" style="1" bestFit="1" customWidth="1"/>
    <col min="18" max="18" width="19.28515625" style="1" customWidth="1"/>
    <col min="19" max="19" width="17.140625" style="1" customWidth="1"/>
    <col min="20" max="20" width="20" style="1" bestFit="1" customWidth="1"/>
    <col min="21" max="16384" width="11.42578125" style="1"/>
  </cols>
  <sheetData>
    <row r="3" spans="5:20" s="86" customFormat="1" ht="21.75">
      <c r="E3" s="85"/>
    </row>
    <row r="4" spans="5:20" s="86" customFormat="1" ht="21.75">
      <c r="E4" s="85"/>
    </row>
    <row r="5" spans="5:20" s="86" customFormat="1" ht="42" customHeight="1">
      <c r="E5" s="85"/>
    </row>
    <row r="6" spans="5:20" s="86" customFormat="1" ht="19.5">
      <c r="E6" s="197" t="s">
        <v>135</v>
      </c>
    </row>
    <row r="7" spans="5:20" s="86" customFormat="1" ht="19.5">
      <c r="E7" s="198" t="s">
        <v>112</v>
      </c>
      <c r="O7" s="177"/>
      <c r="P7" s="269" t="s">
        <v>137</v>
      </c>
      <c r="Q7" s="269"/>
      <c r="R7" s="269"/>
    </row>
    <row r="8" spans="5:20" s="86" customFormat="1" ht="19.5">
      <c r="E8" s="198" t="s">
        <v>75</v>
      </c>
      <c r="P8" s="269"/>
      <c r="Q8" s="269"/>
      <c r="R8" s="269"/>
    </row>
    <row r="9" spans="5:20" ht="15.75" customHeight="1">
      <c r="E9" s="198" t="s">
        <v>76</v>
      </c>
    </row>
    <row r="10" spans="5:20" ht="15.75" customHeight="1">
      <c r="E10" s="198" t="s">
        <v>77</v>
      </c>
      <c r="G10" s="200"/>
    </row>
    <row r="11" spans="5:20" ht="6" customHeight="1" thickBot="1">
      <c r="E11" s="87"/>
    </row>
    <row r="12" spans="5:20" s="4" customFormat="1" ht="29.25" customHeight="1" thickTop="1" thickBot="1">
      <c r="E12" s="199" t="s">
        <v>59</v>
      </c>
      <c r="F12" s="199" t="s">
        <v>0</v>
      </c>
      <c r="G12" s="199" t="s">
        <v>1</v>
      </c>
      <c r="H12" s="199" t="s">
        <v>2</v>
      </c>
      <c r="I12" s="199" t="s">
        <v>3</v>
      </c>
      <c r="J12" s="199" t="s">
        <v>4</v>
      </c>
      <c r="K12" s="199" t="s">
        <v>5</v>
      </c>
      <c r="L12" s="199" t="s">
        <v>6</v>
      </c>
      <c r="M12" s="199" t="s">
        <v>7</v>
      </c>
      <c r="N12" s="199" t="s">
        <v>8</v>
      </c>
      <c r="O12" s="199" t="s">
        <v>9</v>
      </c>
      <c r="P12" s="199" t="s">
        <v>10</v>
      </c>
      <c r="Q12" s="199" t="s">
        <v>11</v>
      </c>
      <c r="R12" s="199" t="s">
        <v>12</v>
      </c>
    </row>
    <row r="13" spans="5:20" s="4" customFormat="1" ht="24.75" customHeight="1" thickTop="1">
      <c r="E13" s="103" t="s">
        <v>97</v>
      </c>
      <c r="F13" s="104">
        <f t="shared" ref="F13:Q13" si="0">+F14+F46</f>
        <v>5015278</v>
      </c>
      <c r="G13" s="104">
        <f t="shared" si="0"/>
        <v>6777004</v>
      </c>
      <c r="H13" s="104">
        <f t="shared" si="0"/>
        <v>6808029</v>
      </c>
      <c r="I13" s="104">
        <f t="shared" si="0"/>
        <v>6629133</v>
      </c>
      <c r="J13" s="104">
        <f t="shared" si="0"/>
        <v>6690536.5700000003</v>
      </c>
      <c r="K13" s="104">
        <f t="shared" si="0"/>
        <v>6648346</v>
      </c>
      <c r="L13" s="104">
        <f t="shared" si="0"/>
        <v>7048145</v>
      </c>
      <c r="M13" s="104">
        <f t="shared" si="0"/>
        <v>6686839</v>
      </c>
      <c r="N13" s="104">
        <f t="shared" si="0"/>
        <v>6488301</v>
      </c>
      <c r="O13" s="104">
        <f t="shared" si="0"/>
        <v>6918669</v>
      </c>
      <c r="P13" s="104">
        <f t="shared" si="0"/>
        <v>6587730</v>
      </c>
      <c r="Q13" s="104">
        <f t="shared" si="0"/>
        <v>10782093</v>
      </c>
      <c r="R13" s="104">
        <f>SUM(F13:Q13)</f>
        <v>83080103.569999993</v>
      </c>
      <c r="S13" s="50"/>
      <c r="T13" s="50"/>
    </row>
    <row r="14" spans="5:20" s="4" customFormat="1" ht="20.100000000000001" customHeight="1">
      <c r="E14" s="92" t="s">
        <v>89</v>
      </c>
      <c r="F14" s="105">
        <f t="shared" ref="F14:Q14" si="1">+F15+F36+F43</f>
        <v>5015278</v>
      </c>
      <c r="G14" s="105">
        <f t="shared" si="1"/>
        <v>6777004</v>
      </c>
      <c r="H14" s="105">
        <f t="shared" si="1"/>
        <v>6808029</v>
      </c>
      <c r="I14" s="105">
        <f t="shared" si="1"/>
        <v>6629133</v>
      </c>
      <c r="J14" s="105">
        <f t="shared" si="1"/>
        <v>6690536.5700000003</v>
      </c>
      <c r="K14" s="105">
        <f t="shared" si="1"/>
        <v>6648346</v>
      </c>
      <c r="L14" s="105">
        <f t="shared" si="1"/>
        <v>7048145</v>
      </c>
      <c r="M14" s="105">
        <f t="shared" si="1"/>
        <v>6686839</v>
      </c>
      <c r="N14" s="105">
        <f t="shared" si="1"/>
        <v>6488301</v>
      </c>
      <c r="O14" s="105">
        <f t="shared" si="1"/>
        <v>6918669</v>
      </c>
      <c r="P14" s="105">
        <f t="shared" si="1"/>
        <v>6587730</v>
      </c>
      <c r="Q14" s="105">
        <f t="shared" si="1"/>
        <v>10782093</v>
      </c>
      <c r="R14" s="105">
        <f>SUM(F14:Q14)</f>
        <v>83080103.569999993</v>
      </c>
      <c r="S14" s="50"/>
      <c r="T14" s="50"/>
    </row>
    <row r="15" spans="5:20" s="4" customFormat="1" ht="25.5" customHeight="1">
      <c r="E15" s="106" t="s">
        <v>90</v>
      </c>
      <c r="F15" s="107">
        <f t="shared" ref="F15:Q15" si="2">+F16+F18+F23+F26+F30</f>
        <v>5015278</v>
      </c>
      <c r="G15" s="107">
        <f t="shared" si="2"/>
        <v>4616471</v>
      </c>
      <c r="H15" s="107">
        <f t="shared" si="2"/>
        <v>4597496</v>
      </c>
      <c r="I15" s="107">
        <f t="shared" si="2"/>
        <v>4418600</v>
      </c>
      <c r="J15" s="107">
        <f t="shared" si="2"/>
        <v>4480003.57</v>
      </c>
      <c r="K15" s="107">
        <f t="shared" si="2"/>
        <v>4437813</v>
      </c>
      <c r="L15" s="107">
        <f t="shared" si="2"/>
        <v>4837612</v>
      </c>
      <c r="M15" s="107">
        <f t="shared" si="2"/>
        <v>4476306</v>
      </c>
      <c r="N15" s="107">
        <f t="shared" si="2"/>
        <v>4277768</v>
      </c>
      <c r="O15" s="107">
        <f t="shared" si="2"/>
        <v>4708136</v>
      </c>
      <c r="P15" s="107">
        <f t="shared" si="2"/>
        <v>4377197</v>
      </c>
      <c r="Q15" s="107">
        <f t="shared" si="2"/>
        <v>5185140</v>
      </c>
      <c r="R15" s="107">
        <f>SUM(F15:Q15)</f>
        <v>55427820.57</v>
      </c>
      <c r="S15" s="108"/>
      <c r="T15" s="104"/>
    </row>
    <row r="16" spans="5:20" s="4" customFormat="1" ht="20.100000000000001" customHeight="1">
      <c r="E16" s="109" t="s">
        <v>14</v>
      </c>
      <c r="F16" s="110">
        <f>SUM(F17:F17)</f>
        <v>0</v>
      </c>
      <c r="G16" s="110">
        <f t="shared" ref="G16:Q16" si="3">SUM(G17:G17)</f>
        <v>0</v>
      </c>
      <c r="H16" s="110">
        <f t="shared" si="3"/>
        <v>0</v>
      </c>
      <c r="I16" s="110">
        <f t="shared" si="3"/>
        <v>0</v>
      </c>
      <c r="J16" s="110">
        <f t="shared" si="3"/>
        <v>0</v>
      </c>
      <c r="K16" s="110">
        <f t="shared" si="3"/>
        <v>0</v>
      </c>
      <c r="L16" s="110">
        <f t="shared" si="3"/>
        <v>0</v>
      </c>
      <c r="M16" s="110">
        <f t="shared" si="3"/>
        <v>0</v>
      </c>
      <c r="N16" s="110">
        <f t="shared" si="3"/>
        <v>0</v>
      </c>
      <c r="O16" s="110">
        <f t="shared" si="3"/>
        <v>0</v>
      </c>
      <c r="P16" s="110">
        <f t="shared" si="3"/>
        <v>0</v>
      </c>
      <c r="Q16" s="110">
        <f t="shared" si="3"/>
        <v>0</v>
      </c>
      <c r="R16" s="110">
        <f>SUM(F16:Q16)</f>
        <v>0</v>
      </c>
      <c r="S16" s="50"/>
      <c r="T16" s="50"/>
    </row>
    <row r="17" spans="5:20" s="4" customFormat="1" ht="20.100000000000001" customHeight="1">
      <c r="E17" s="109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50"/>
      <c r="T17" s="50"/>
    </row>
    <row r="18" spans="5:20" s="4" customFormat="1" ht="20.100000000000001" customHeight="1">
      <c r="E18" s="109" t="s">
        <v>15</v>
      </c>
      <c r="F18" s="107">
        <f t="shared" ref="F18:Q18" si="4">SUM(F19:F21)</f>
        <v>4818510</v>
      </c>
      <c r="G18" s="107">
        <f t="shared" si="4"/>
        <v>4436810</v>
      </c>
      <c r="H18" s="107">
        <f t="shared" si="4"/>
        <v>4419240</v>
      </c>
      <c r="I18" s="107">
        <f t="shared" si="4"/>
        <v>4248280</v>
      </c>
      <c r="J18" s="107">
        <f t="shared" si="4"/>
        <v>4238790</v>
      </c>
      <c r="K18" s="107">
        <f t="shared" si="4"/>
        <v>4265840</v>
      </c>
      <c r="L18" s="107">
        <f t="shared" si="4"/>
        <v>4649010</v>
      </c>
      <c r="M18" s="107">
        <f t="shared" si="4"/>
        <v>4298890</v>
      </c>
      <c r="N18" s="107">
        <f t="shared" si="4"/>
        <v>4113350</v>
      </c>
      <c r="O18" s="107">
        <f t="shared" si="4"/>
        <v>4522690</v>
      </c>
      <c r="P18" s="107">
        <f t="shared" si="4"/>
        <v>4192860</v>
      </c>
      <c r="Q18" s="107">
        <f t="shared" si="4"/>
        <v>4960370</v>
      </c>
      <c r="R18" s="107">
        <f>SUM(R19:R21)</f>
        <v>53164640</v>
      </c>
      <c r="S18" s="50"/>
      <c r="T18" s="50"/>
    </row>
    <row r="19" spans="5:20" s="4" customFormat="1" ht="20.100000000000001" customHeight="1">
      <c r="E19" s="118" t="s">
        <v>106</v>
      </c>
      <c r="F19" s="110">
        <v>4102950</v>
      </c>
      <c r="G19" s="110">
        <v>3718780</v>
      </c>
      <c r="H19" s="110">
        <v>3702480</v>
      </c>
      <c r="I19" s="110">
        <v>3530020</v>
      </c>
      <c r="J19" s="110">
        <v>3521140</v>
      </c>
      <c r="K19" s="110">
        <v>3550650</v>
      </c>
      <c r="L19" s="110">
        <v>3928670</v>
      </c>
      <c r="M19" s="110">
        <v>3583780</v>
      </c>
      <c r="N19" s="110">
        <v>3397270</v>
      </c>
      <c r="O19" s="110">
        <v>3806020</v>
      </c>
      <c r="P19" s="110">
        <v>3468780</v>
      </c>
      <c r="Q19" s="110">
        <v>4241840</v>
      </c>
      <c r="R19" s="110">
        <f>SUM(F19:Q19)</f>
        <v>44552380</v>
      </c>
      <c r="S19" s="50"/>
      <c r="T19" s="50"/>
    </row>
    <row r="20" spans="5:20" s="4" customFormat="1" ht="20.100000000000001" customHeight="1">
      <c r="E20" s="118" t="s">
        <v>107</v>
      </c>
      <c r="F20" s="110">
        <v>193560</v>
      </c>
      <c r="G20" s="110">
        <v>196030</v>
      </c>
      <c r="H20" s="110">
        <v>194760</v>
      </c>
      <c r="I20" s="110">
        <v>196260</v>
      </c>
      <c r="J20" s="110">
        <v>195650</v>
      </c>
      <c r="K20" s="110">
        <v>193190</v>
      </c>
      <c r="L20" s="110">
        <v>198340</v>
      </c>
      <c r="M20" s="110">
        <v>193110</v>
      </c>
      <c r="N20" s="110">
        <v>194080</v>
      </c>
      <c r="O20" s="110">
        <v>194670</v>
      </c>
      <c r="P20" s="110">
        <v>202080</v>
      </c>
      <c r="Q20" s="110">
        <v>196530</v>
      </c>
      <c r="R20" s="110">
        <f>SUM(F20:Q20)</f>
        <v>2348260</v>
      </c>
      <c r="S20" s="50"/>
      <c r="T20" s="50"/>
    </row>
    <row r="21" spans="5:20" s="4" customFormat="1" ht="20.100000000000001" customHeight="1">
      <c r="E21" s="118" t="s">
        <v>110</v>
      </c>
      <c r="F21" s="110">
        <v>522000</v>
      </c>
      <c r="G21" s="110">
        <v>522000</v>
      </c>
      <c r="H21" s="110">
        <v>522000</v>
      </c>
      <c r="I21" s="110">
        <v>522000</v>
      </c>
      <c r="J21" s="110">
        <v>522000</v>
      </c>
      <c r="K21" s="110">
        <v>522000</v>
      </c>
      <c r="L21" s="110">
        <v>522000</v>
      </c>
      <c r="M21" s="110">
        <v>522000</v>
      </c>
      <c r="N21" s="110">
        <v>522000</v>
      </c>
      <c r="O21" s="110">
        <v>522000</v>
      </c>
      <c r="P21" s="110">
        <v>522000</v>
      </c>
      <c r="Q21" s="110">
        <v>522000</v>
      </c>
      <c r="R21" s="110">
        <f>SUM(F21:Q21)</f>
        <v>6264000</v>
      </c>
      <c r="S21" s="50"/>
      <c r="T21" s="50"/>
    </row>
    <row r="22" spans="5:20" s="4" customFormat="1" ht="20.100000000000001" customHeight="1">
      <c r="E22" s="118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50"/>
      <c r="T22" s="50"/>
    </row>
    <row r="23" spans="5:20" s="4" customFormat="1" ht="26.25" customHeight="1">
      <c r="E23" s="112" t="s">
        <v>16</v>
      </c>
      <c r="F23" s="107">
        <v>184768</v>
      </c>
      <c r="G23" s="107">
        <v>167161</v>
      </c>
      <c r="H23" s="107">
        <v>165956</v>
      </c>
      <c r="I23" s="107">
        <v>158220</v>
      </c>
      <c r="J23" s="107">
        <v>158111</v>
      </c>
      <c r="K23" s="107">
        <v>159823</v>
      </c>
      <c r="L23" s="107">
        <v>176302</v>
      </c>
      <c r="M23" s="107">
        <v>160326</v>
      </c>
      <c r="N23" s="107">
        <v>152118</v>
      </c>
      <c r="O23" s="107">
        <v>170146</v>
      </c>
      <c r="P23" s="107">
        <v>155337</v>
      </c>
      <c r="Q23" s="107">
        <v>190620</v>
      </c>
      <c r="R23" s="107">
        <f>SUM(F23:Q23)</f>
        <v>1998888</v>
      </c>
      <c r="S23" s="50"/>
      <c r="T23" s="50"/>
    </row>
    <row r="24" spans="5:20" s="4" customFormat="1" ht="20.100000000000001" customHeight="1">
      <c r="E24" s="118" t="s">
        <v>105</v>
      </c>
      <c r="F24" s="111">
        <v>184768</v>
      </c>
      <c r="G24" s="111">
        <v>167161</v>
      </c>
      <c r="H24" s="111">
        <v>165956</v>
      </c>
      <c r="I24" s="111">
        <v>158220</v>
      </c>
      <c r="J24" s="111">
        <v>158111</v>
      </c>
      <c r="K24" s="111">
        <v>159823</v>
      </c>
      <c r="L24" s="111">
        <v>176302</v>
      </c>
      <c r="M24" s="111">
        <v>160326</v>
      </c>
      <c r="N24" s="111">
        <v>152118</v>
      </c>
      <c r="O24" s="111">
        <v>170146</v>
      </c>
      <c r="P24" s="111">
        <v>155337</v>
      </c>
      <c r="Q24" s="111">
        <v>190620</v>
      </c>
      <c r="R24" s="111"/>
      <c r="S24" s="50"/>
      <c r="T24" s="50"/>
    </row>
    <row r="25" spans="5:20" s="4" customFormat="1" ht="20.100000000000001" customHeight="1">
      <c r="E25" s="112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50"/>
      <c r="T25" s="50"/>
    </row>
    <row r="26" spans="5:20" s="4" customFormat="1" ht="22.5" customHeight="1">
      <c r="E26" s="109" t="s">
        <v>17</v>
      </c>
      <c r="F26" s="107">
        <f>+F27+F34+F28</f>
        <v>12000</v>
      </c>
      <c r="G26" s="107">
        <f t="shared" ref="G26:R26" si="5">+G27+G34+G28</f>
        <v>12500</v>
      </c>
      <c r="H26" s="107">
        <f t="shared" si="5"/>
        <v>12300</v>
      </c>
      <c r="I26" s="107">
        <f t="shared" si="5"/>
        <v>12100</v>
      </c>
      <c r="J26" s="107">
        <f t="shared" si="5"/>
        <v>83102.570000000007</v>
      </c>
      <c r="K26" s="107">
        <f t="shared" si="5"/>
        <v>12150</v>
      </c>
      <c r="L26" s="107">
        <f t="shared" si="5"/>
        <v>12300</v>
      </c>
      <c r="M26" s="107">
        <f t="shared" si="5"/>
        <v>17090</v>
      </c>
      <c r="N26" s="107">
        <f t="shared" si="5"/>
        <v>12300</v>
      </c>
      <c r="O26" s="107">
        <f t="shared" si="5"/>
        <v>15300</v>
      </c>
      <c r="P26" s="107">
        <f t="shared" si="5"/>
        <v>29000</v>
      </c>
      <c r="Q26" s="107">
        <f t="shared" si="5"/>
        <v>34150</v>
      </c>
      <c r="R26" s="107">
        <f t="shared" si="5"/>
        <v>264292.57</v>
      </c>
      <c r="S26" s="50"/>
      <c r="T26" s="50"/>
    </row>
    <row r="27" spans="5:20" s="4" customFormat="1" ht="30" customHeight="1">
      <c r="E27" s="118" t="s">
        <v>109</v>
      </c>
      <c r="F27" s="110">
        <v>12000</v>
      </c>
      <c r="G27" s="110">
        <v>12500</v>
      </c>
      <c r="H27" s="110">
        <v>12300</v>
      </c>
      <c r="I27" s="110">
        <v>12100</v>
      </c>
      <c r="J27" s="110">
        <v>12200</v>
      </c>
      <c r="K27" s="110">
        <v>12150</v>
      </c>
      <c r="L27" s="110">
        <v>12300</v>
      </c>
      <c r="M27" s="110">
        <v>17090</v>
      </c>
      <c r="N27" s="110">
        <v>12300</v>
      </c>
      <c r="O27" s="110">
        <v>15300</v>
      </c>
      <c r="P27" s="110">
        <v>29000</v>
      </c>
      <c r="Q27" s="110">
        <v>34150</v>
      </c>
      <c r="R27" s="110">
        <f>SUM(F27:Q27)</f>
        <v>193390</v>
      </c>
      <c r="S27" s="50"/>
      <c r="T27" s="50"/>
    </row>
    <row r="28" spans="5:20" s="4" customFormat="1" ht="31.5" customHeight="1">
      <c r="E28" s="118" t="s">
        <v>136</v>
      </c>
      <c r="F28" s="111">
        <v>0</v>
      </c>
      <c r="G28" s="111">
        <v>0</v>
      </c>
      <c r="H28" s="111">
        <v>0</v>
      </c>
      <c r="I28" s="111">
        <v>0</v>
      </c>
      <c r="J28" s="111">
        <v>70902.570000000007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0">
        <f>SUM(F28:Q28)</f>
        <v>70902.570000000007</v>
      </c>
      <c r="S28" s="50"/>
      <c r="T28" s="50"/>
    </row>
    <row r="29" spans="5:20" s="4" customFormat="1" ht="20.100000000000001" customHeight="1">
      <c r="E29" s="118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0"/>
      <c r="S29" s="50"/>
      <c r="T29" s="50"/>
    </row>
    <row r="30" spans="5:20" s="50" customFormat="1" ht="20.100000000000001" customHeight="1">
      <c r="E30" s="109" t="s">
        <v>26</v>
      </c>
      <c r="F30" s="111">
        <f t="shared" ref="F30:Q30" si="6">+F31+F32</f>
        <v>0</v>
      </c>
      <c r="G30" s="111">
        <f t="shared" si="6"/>
        <v>0</v>
      </c>
      <c r="H30" s="111">
        <f t="shared" si="6"/>
        <v>0</v>
      </c>
      <c r="I30" s="111">
        <f t="shared" si="6"/>
        <v>0</v>
      </c>
      <c r="J30" s="111">
        <f t="shared" si="6"/>
        <v>0</v>
      </c>
      <c r="K30" s="111">
        <f t="shared" si="6"/>
        <v>0</v>
      </c>
      <c r="L30" s="111">
        <f t="shared" si="6"/>
        <v>0</v>
      </c>
      <c r="M30" s="111">
        <f t="shared" si="6"/>
        <v>0</v>
      </c>
      <c r="N30" s="111">
        <f t="shared" si="6"/>
        <v>0</v>
      </c>
      <c r="O30" s="111">
        <f t="shared" si="6"/>
        <v>0</v>
      </c>
      <c r="P30" s="111">
        <f t="shared" si="6"/>
        <v>0</v>
      </c>
      <c r="Q30" s="111">
        <f t="shared" si="6"/>
        <v>0</v>
      </c>
      <c r="R30" s="111">
        <f t="shared" ref="R30:R49" si="7">SUM(F30:Q30)</f>
        <v>0</v>
      </c>
    </row>
    <row r="31" spans="5:20" s="4" customFormat="1" ht="20.100000000000001" customHeight="1">
      <c r="E31" s="114" t="s">
        <v>101</v>
      </c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>
        <f t="shared" si="7"/>
        <v>0</v>
      </c>
      <c r="S31" s="50"/>
      <c r="T31" s="50"/>
    </row>
    <row r="32" spans="5:20" s="4" customFormat="1" ht="20.25" customHeight="1">
      <c r="E32" s="114" t="s">
        <v>100</v>
      </c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>
        <f t="shared" si="7"/>
        <v>0</v>
      </c>
      <c r="S32" s="50"/>
      <c r="T32" s="50"/>
    </row>
    <row r="33" spans="5:20" s="4" customFormat="1" ht="27" customHeight="1">
      <c r="E33" s="109" t="s">
        <v>94</v>
      </c>
      <c r="F33" s="104">
        <f>SUM(F34:F35)</f>
        <v>0</v>
      </c>
      <c r="G33" s="104">
        <f t="shared" ref="G33:Q33" si="8">SUM(G34:G35)</f>
        <v>0</v>
      </c>
      <c r="H33" s="104">
        <f t="shared" si="8"/>
        <v>0</v>
      </c>
      <c r="I33" s="104">
        <f t="shared" si="8"/>
        <v>0</v>
      </c>
      <c r="J33" s="104">
        <f t="shared" si="8"/>
        <v>0</v>
      </c>
      <c r="K33" s="104">
        <f t="shared" si="8"/>
        <v>0</v>
      </c>
      <c r="L33" s="104">
        <f t="shared" si="8"/>
        <v>0</v>
      </c>
      <c r="M33" s="104">
        <f t="shared" si="8"/>
        <v>0</v>
      </c>
      <c r="N33" s="104">
        <f t="shared" si="8"/>
        <v>0</v>
      </c>
      <c r="O33" s="104">
        <f t="shared" si="8"/>
        <v>0</v>
      </c>
      <c r="P33" s="104">
        <f t="shared" si="8"/>
        <v>0</v>
      </c>
      <c r="Q33" s="104">
        <f t="shared" si="8"/>
        <v>0</v>
      </c>
      <c r="R33" s="104">
        <f t="shared" si="7"/>
        <v>0</v>
      </c>
      <c r="S33" s="50"/>
      <c r="T33" s="50"/>
    </row>
    <row r="34" spans="5:20" s="4" customFormat="1" ht="20.100000000000001" customHeight="1">
      <c r="E34" s="118" t="s">
        <v>60</v>
      </c>
      <c r="F34" s="110">
        <v>0</v>
      </c>
      <c r="G34" s="110">
        <v>0</v>
      </c>
      <c r="H34" s="110">
        <v>0</v>
      </c>
      <c r="I34" s="110">
        <v>0</v>
      </c>
      <c r="J34" s="110">
        <v>0</v>
      </c>
      <c r="K34" s="110">
        <v>0</v>
      </c>
      <c r="L34" s="110">
        <v>0</v>
      </c>
      <c r="M34" s="110">
        <v>0</v>
      </c>
      <c r="N34" s="110">
        <v>0</v>
      </c>
      <c r="O34" s="110">
        <v>0</v>
      </c>
      <c r="P34" s="110">
        <v>0</v>
      </c>
      <c r="Q34" s="110">
        <v>0</v>
      </c>
      <c r="R34" s="110">
        <f t="shared" si="7"/>
        <v>0</v>
      </c>
      <c r="S34" s="50"/>
      <c r="T34" s="50"/>
    </row>
    <row r="35" spans="5:20" s="4" customFormat="1" ht="20.100000000000001" customHeight="1">
      <c r="E35" s="115" t="s">
        <v>61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/>
      <c r="R35" s="111">
        <f t="shared" si="7"/>
        <v>0</v>
      </c>
      <c r="S35" s="50"/>
      <c r="T35" s="50"/>
    </row>
    <row r="36" spans="5:20" s="4" customFormat="1" ht="20.25" customHeight="1">
      <c r="E36" s="92" t="s">
        <v>102</v>
      </c>
      <c r="F36" s="105">
        <f>+F37+F40</f>
        <v>0</v>
      </c>
      <c r="G36" s="105">
        <f t="shared" ref="G36:Q36" si="9">+G37+G40</f>
        <v>2160533</v>
      </c>
      <c r="H36" s="105">
        <f t="shared" si="9"/>
        <v>2210533</v>
      </c>
      <c r="I36" s="105">
        <f t="shared" si="9"/>
        <v>2210533</v>
      </c>
      <c r="J36" s="105">
        <f t="shared" si="9"/>
        <v>2210533</v>
      </c>
      <c r="K36" s="105">
        <f t="shared" si="9"/>
        <v>2210533</v>
      </c>
      <c r="L36" s="105">
        <f t="shared" si="9"/>
        <v>2210533</v>
      </c>
      <c r="M36" s="105">
        <f t="shared" si="9"/>
        <v>2210533</v>
      </c>
      <c r="N36" s="105">
        <f t="shared" si="9"/>
        <v>2210533</v>
      </c>
      <c r="O36" s="105">
        <f t="shared" si="9"/>
        <v>2210533</v>
      </c>
      <c r="P36" s="105">
        <f t="shared" si="9"/>
        <v>2210533</v>
      </c>
      <c r="Q36" s="105">
        <f t="shared" si="9"/>
        <v>5596953</v>
      </c>
      <c r="R36" s="105">
        <f t="shared" si="7"/>
        <v>27652283</v>
      </c>
      <c r="S36" s="50"/>
      <c r="T36" s="50"/>
    </row>
    <row r="37" spans="5:20" s="4" customFormat="1" ht="21" customHeight="1">
      <c r="E37" s="109" t="s">
        <v>18</v>
      </c>
      <c r="F37" s="111">
        <f>+F38+F39</f>
        <v>0</v>
      </c>
      <c r="G37" s="111">
        <f t="shared" ref="G37:Q37" si="10">+G38+G39</f>
        <v>2160533</v>
      </c>
      <c r="H37" s="111">
        <f t="shared" si="10"/>
        <v>2210533</v>
      </c>
      <c r="I37" s="111">
        <f t="shared" si="10"/>
        <v>2210533</v>
      </c>
      <c r="J37" s="111">
        <f t="shared" si="10"/>
        <v>2210533</v>
      </c>
      <c r="K37" s="111">
        <f t="shared" si="10"/>
        <v>2210533</v>
      </c>
      <c r="L37" s="111">
        <f t="shared" si="10"/>
        <v>2210533</v>
      </c>
      <c r="M37" s="111">
        <f t="shared" si="10"/>
        <v>2210533</v>
      </c>
      <c r="N37" s="111">
        <f t="shared" si="10"/>
        <v>2210533</v>
      </c>
      <c r="O37" s="111">
        <f t="shared" si="10"/>
        <v>2210533</v>
      </c>
      <c r="P37" s="111">
        <f t="shared" si="10"/>
        <v>2210533</v>
      </c>
      <c r="Q37" s="111">
        <f t="shared" si="10"/>
        <v>5596953</v>
      </c>
      <c r="R37" s="111">
        <f t="shared" si="7"/>
        <v>27652283</v>
      </c>
      <c r="S37" s="108"/>
      <c r="T37" s="108"/>
    </row>
    <row r="38" spans="5:20" s="4" customFormat="1" ht="20.100000000000001" customHeight="1">
      <c r="E38" s="116" t="s">
        <v>19</v>
      </c>
      <c r="F38" s="166">
        <v>0</v>
      </c>
      <c r="G38" s="166">
        <v>2160533</v>
      </c>
      <c r="H38" s="166">
        <v>2210533</v>
      </c>
      <c r="I38" s="166">
        <v>2210533</v>
      </c>
      <c r="J38" s="166">
        <v>2210533</v>
      </c>
      <c r="K38" s="166">
        <v>2210533</v>
      </c>
      <c r="L38" s="166">
        <v>2210533</v>
      </c>
      <c r="M38" s="166">
        <v>2210533</v>
      </c>
      <c r="N38" s="166">
        <v>2210533</v>
      </c>
      <c r="O38" s="166">
        <v>2210533</v>
      </c>
      <c r="P38" s="166">
        <v>2210533</v>
      </c>
      <c r="Q38" s="166">
        <v>5596953</v>
      </c>
      <c r="R38" s="125">
        <f t="shared" si="7"/>
        <v>27652283</v>
      </c>
      <c r="S38" s="50"/>
      <c r="T38" s="50"/>
    </row>
    <row r="39" spans="5:20" s="50" customFormat="1" ht="15" customHeight="1">
      <c r="E39" s="116" t="s">
        <v>20</v>
      </c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>
        <f t="shared" si="7"/>
        <v>0</v>
      </c>
    </row>
    <row r="40" spans="5:20" s="50" customFormat="1" ht="15" customHeight="1">
      <c r="E40" s="109" t="s">
        <v>21</v>
      </c>
      <c r="F40" s="111">
        <f t="shared" ref="F40:Q40" si="11">+F41+F42</f>
        <v>0</v>
      </c>
      <c r="G40" s="111">
        <f t="shared" si="11"/>
        <v>0</v>
      </c>
      <c r="H40" s="111">
        <f t="shared" si="11"/>
        <v>0</v>
      </c>
      <c r="I40" s="111">
        <f t="shared" si="11"/>
        <v>0</v>
      </c>
      <c r="J40" s="111">
        <f t="shared" si="11"/>
        <v>0</v>
      </c>
      <c r="K40" s="111">
        <f t="shared" si="11"/>
        <v>0</v>
      </c>
      <c r="L40" s="111">
        <f t="shared" si="11"/>
        <v>0</v>
      </c>
      <c r="M40" s="111">
        <f t="shared" si="11"/>
        <v>0</v>
      </c>
      <c r="N40" s="111">
        <f t="shared" si="11"/>
        <v>0</v>
      </c>
      <c r="O40" s="111">
        <f t="shared" si="11"/>
        <v>0</v>
      </c>
      <c r="P40" s="111">
        <f t="shared" si="11"/>
        <v>0</v>
      </c>
      <c r="Q40" s="111">
        <f t="shared" si="11"/>
        <v>0</v>
      </c>
      <c r="R40" s="111">
        <f t="shared" si="7"/>
        <v>0</v>
      </c>
    </row>
    <row r="41" spans="5:20" s="50" customFormat="1" ht="20.100000000000001" customHeight="1">
      <c r="E41" s="116" t="s">
        <v>19</v>
      </c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>
        <f t="shared" si="7"/>
        <v>0</v>
      </c>
    </row>
    <row r="42" spans="5:20" s="50" customFormat="1" ht="15" customHeight="1">
      <c r="E42" s="116" t="s">
        <v>22</v>
      </c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>
        <f t="shared" si="7"/>
        <v>0</v>
      </c>
    </row>
    <row r="43" spans="5:20" s="50" customFormat="1" ht="15" customHeight="1">
      <c r="E43" s="92" t="s">
        <v>91</v>
      </c>
      <c r="F43" s="105">
        <f t="shared" ref="F43:Q43" si="12">+F44+F45</f>
        <v>0</v>
      </c>
      <c r="G43" s="105">
        <f t="shared" si="12"/>
        <v>0</v>
      </c>
      <c r="H43" s="105">
        <f t="shared" si="12"/>
        <v>0</v>
      </c>
      <c r="I43" s="105">
        <f t="shared" si="12"/>
        <v>0</v>
      </c>
      <c r="J43" s="105">
        <f t="shared" si="12"/>
        <v>0</v>
      </c>
      <c r="K43" s="105">
        <f t="shared" si="12"/>
        <v>0</v>
      </c>
      <c r="L43" s="105">
        <f t="shared" si="12"/>
        <v>0</v>
      </c>
      <c r="M43" s="105">
        <f t="shared" si="12"/>
        <v>0</v>
      </c>
      <c r="N43" s="105">
        <f t="shared" si="12"/>
        <v>0</v>
      </c>
      <c r="O43" s="105">
        <f t="shared" si="12"/>
        <v>0</v>
      </c>
      <c r="P43" s="105">
        <f t="shared" si="12"/>
        <v>0</v>
      </c>
      <c r="Q43" s="105">
        <f t="shared" si="12"/>
        <v>0</v>
      </c>
      <c r="R43" s="105">
        <f t="shared" si="7"/>
        <v>0</v>
      </c>
    </row>
    <row r="44" spans="5:20" s="4" customFormat="1" ht="18" customHeight="1">
      <c r="E44" s="118" t="s">
        <v>18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>
        <f t="shared" si="7"/>
        <v>0</v>
      </c>
      <c r="S44" s="108"/>
      <c r="T44" s="108"/>
    </row>
    <row r="45" spans="5:20" s="4" customFormat="1" ht="20.100000000000001" customHeight="1">
      <c r="E45" s="118" t="s">
        <v>21</v>
      </c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>
        <f t="shared" si="7"/>
        <v>0</v>
      </c>
      <c r="S45" s="50"/>
      <c r="T45" s="50"/>
    </row>
    <row r="46" spans="5:20" s="4" customFormat="1" ht="20.100000000000001" customHeight="1">
      <c r="E46" s="92" t="s">
        <v>92</v>
      </c>
      <c r="F46" s="105">
        <f>+F47</f>
        <v>0</v>
      </c>
      <c r="G46" s="105">
        <f t="shared" ref="G46:R46" si="13">+G47</f>
        <v>0</v>
      </c>
      <c r="H46" s="105">
        <f t="shared" si="13"/>
        <v>0</v>
      </c>
      <c r="I46" s="105">
        <f t="shared" si="13"/>
        <v>0</v>
      </c>
      <c r="J46" s="105">
        <f t="shared" si="13"/>
        <v>0</v>
      </c>
      <c r="K46" s="105">
        <f t="shared" si="13"/>
        <v>0</v>
      </c>
      <c r="L46" s="105">
        <f t="shared" si="13"/>
        <v>0</v>
      </c>
      <c r="M46" s="105">
        <f t="shared" si="13"/>
        <v>0</v>
      </c>
      <c r="N46" s="105">
        <f t="shared" si="13"/>
        <v>0</v>
      </c>
      <c r="O46" s="105">
        <f t="shared" si="13"/>
        <v>0</v>
      </c>
      <c r="P46" s="105">
        <f t="shared" si="13"/>
        <v>0</v>
      </c>
      <c r="Q46" s="105">
        <f t="shared" si="13"/>
        <v>0</v>
      </c>
      <c r="R46" s="105">
        <f t="shared" si="13"/>
        <v>0</v>
      </c>
      <c r="S46" s="50"/>
      <c r="T46" s="50"/>
    </row>
    <row r="47" spans="5:20" s="4" customFormat="1" ht="23.45" customHeight="1">
      <c r="E47" s="106" t="s">
        <v>93</v>
      </c>
      <c r="F47" s="104">
        <f t="shared" ref="F47:Q47" si="14">+F48-F49</f>
        <v>0</v>
      </c>
      <c r="G47" s="104">
        <f t="shared" si="14"/>
        <v>0</v>
      </c>
      <c r="H47" s="104">
        <f t="shared" si="14"/>
        <v>0</v>
      </c>
      <c r="I47" s="104">
        <f t="shared" si="14"/>
        <v>0</v>
      </c>
      <c r="J47" s="104">
        <f t="shared" si="14"/>
        <v>0</v>
      </c>
      <c r="K47" s="104">
        <f t="shared" si="14"/>
        <v>0</v>
      </c>
      <c r="L47" s="104">
        <f t="shared" si="14"/>
        <v>0</v>
      </c>
      <c r="M47" s="104">
        <f t="shared" si="14"/>
        <v>0</v>
      </c>
      <c r="N47" s="104">
        <f t="shared" si="14"/>
        <v>0</v>
      </c>
      <c r="O47" s="104">
        <f t="shared" si="14"/>
        <v>0</v>
      </c>
      <c r="P47" s="104">
        <f t="shared" si="14"/>
        <v>0</v>
      </c>
      <c r="Q47" s="104">
        <f t="shared" si="14"/>
        <v>0</v>
      </c>
      <c r="R47" s="104">
        <f t="shared" si="7"/>
        <v>0</v>
      </c>
      <c r="S47" s="50"/>
      <c r="T47" s="50"/>
    </row>
    <row r="48" spans="5:20" s="4" customFormat="1" ht="21.75" customHeight="1">
      <c r="E48" s="118" t="s">
        <v>24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/>
      <c r="R48" s="111">
        <f t="shared" si="7"/>
        <v>0</v>
      </c>
      <c r="S48" s="108"/>
      <c r="T48" s="108"/>
    </row>
    <row r="49" spans="5:20" s="4" customFormat="1" ht="20.100000000000001" customHeight="1">
      <c r="E49" s="118" t="s">
        <v>25</v>
      </c>
      <c r="F49" s="111">
        <v>0</v>
      </c>
      <c r="G49" s="111">
        <v>0</v>
      </c>
      <c r="H49" s="111">
        <v>0</v>
      </c>
      <c r="I49" s="111">
        <v>0</v>
      </c>
      <c r="J49" s="111">
        <v>0</v>
      </c>
      <c r="K49" s="111">
        <v>0</v>
      </c>
      <c r="L49" s="111">
        <v>0</v>
      </c>
      <c r="M49" s="111">
        <v>0</v>
      </c>
      <c r="N49" s="111">
        <v>0</v>
      </c>
      <c r="O49" s="111">
        <v>0</v>
      </c>
      <c r="P49" s="111">
        <v>0</v>
      </c>
      <c r="Q49" s="111"/>
      <c r="R49" s="111">
        <f t="shared" si="7"/>
        <v>0</v>
      </c>
      <c r="S49" s="50"/>
      <c r="T49" s="50"/>
    </row>
    <row r="50" spans="5:20" s="4" customFormat="1" ht="14.25"/>
    <row r="51" spans="5:20" s="4" customFormat="1" ht="20.100000000000001" customHeight="1" thickBot="1">
      <c r="E51" s="119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11"/>
      <c r="T51" s="50"/>
    </row>
    <row r="52" spans="5:20" ht="13.5" thickTop="1">
      <c r="E52" s="1" t="s">
        <v>43</v>
      </c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89"/>
      <c r="T52" s="88"/>
    </row>
    <row r="53" spans="5:20">
      <c r="E53" s="1" t="s">
        <v>44</v>
      </c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5:20"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</row>
    <row r="55" spans="5:20"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</row>
    <row r="56" spans="5:20"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</row>
    <row r="57" spans="5:20"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</row>
    <row r="58" spans="5:20"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</row>
    <row r="59" spans="5:20"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</row>
    <row r="60" spans="5:20"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</row>
    <row r="61" spans="5:20"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</row>
    <row r="62" spans="5:20"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</row>
    <row r="63" spans="5:20" ht="20.25" customHeight="1"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</row>
    <row r="64" spans="5:20" ht="18" customHeight="1"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</row>
    <row r="65" spans="6:18"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</row>
    <row r="66" spans="6:18"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</row>
    <row r="67" spans="6:18"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</row>
    <row r="68" spans="6:18"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</row>
    <row r="69" spans="6:18"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</row>
    <row r="70" spans="6:18"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</row>
    <row r="71" spans="6:18"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</row>
    <row r="72" spans="6:18"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</row>
    <row r="73" spans="6:18"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</row>
    <row r="74" spans="6:18"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</row>
    <row r="75" spans="6:18"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</row>
    <row r="76" spans="6:18"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</row>
    <row r="77" spans="6:18"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</row>
    <row r="78" spans="6:18"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</row>
    <row r="79" spans="6:18"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</row>
    <row r="80" spans="6:18"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</row>
    <row r="81" spans="6:18"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</row>
    <row r="82" spans="6:18"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</row>
    <row r="83" spans="6:18"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</row>
    <row r="84" spans="6:18"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</row>
    <row r="85" spans="6:18"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</row>
    <row r="86" spans="6:18"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</row>
    <row r="87" spans="6:18"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</row>
    <row r="88" spans="6:18"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</row>
    <row r="89" spans="6:18"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</row>
    <row r="90" spans="6:18"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</row>
    <row r="91" spans="6:18"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</row>
    <row r="92" spans="6:18"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</row>
    <row r="93" spans="6:18"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</row>
    <row r="94" spans="6:18"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</row>
    <row r="95" spans="6:18"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</row>
    <row r="96" spans="6:18"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</row>
    <row r="97" spans="6:18"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</row>
    <row r="98" spans="6:18"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</row>
    <row r="99" spans="6:18"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</row>
    <row r="100" spans="6:18"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</row>
    <row r="101" spans="6:18"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</row>
  </sheetData>
  <mergeCells count="1">
    <mergeCell ref="P7:R8"/>
  </mergeCells>
  <printOptions horizontalCentered="1" verticalCentered="1"/>
  <pageMargins left="0.39370078740157483" right="0.27559055118110237" top="0.59055118110236227" bottom="0.39370078740157483" header="0" footer="0"/>
  <pageSetup scale="4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3:T103"/>
  <sheetViews>
    <sheetView showGridLines="0" view="pageBreakPreview" topLeftCell="A27" zoomScale="70" zoomScaleSheetLayoutView="70" workbookViewId="0">
      <selection activeCell="I64" sqref="I64"/>
    </sheetView>
  </sheetViews>
  <sheetFormatPr baseColWidth="10" defaultRowHeight="12.75"/>
  <cols>
    <col min="1" max="4" width="3" style="141" customWidth="1"/>
    <col min="5" max="5" width="45.42578125" style="141" customWidth="1"/>
    <col min="6" max="6" width="17.7109375" style="141" bestFit="1" customWidth="1"/>
    <col min="7" max="7" width="16.5703125" style="141" customWidth="1"/>
    <col min="8" max="9" width="16.42578125" style="141" bestFit="1" customWidth="1"/>
    <col min="10" max="10" width="16.7109375" style="141" customWidth="1"/>
    <col min="11" max="12" width="17.7109375" style="141" bestFit="1" customWidth="1"/>
    <col min="13" max="15" width="16.42578125" style="141" bestFit="1" customWidth="1"/>
    <col min="16" max="16" width="17.5703125" style="141" customWidth="1"/>
    <col min="17" max="17" width="16.42578125" style="141" bestFit="1" customWidth="1"/>
    <col min="18" max="18" width="19.28515625" style="141" customWidth="1"/>
    <col min="19" max="19" width="17.140625" style="141" customWidth="1"/>
    <col min="20" max="16384" width="11.42578125" style="141"/>
  </cols>
  <sheetData>
    <row r="3" spans="5:20" s="138" customFormat="1" ht="36" customHeight="1">
      <c r="E3" s="136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5:20" s="138" customFormat="1" ht="41.25" customHeight="1">
      <c r="E4" s="198" t="s">
        <v>132</v>
      </c>
      <c r="F4" s="137"/>
      <c r="G4" s="139"/>
      <c r="H4" s="137"/>
      <c r="I4" s="137"/>
      <c r="J4" s="137"/>
      <c r="K4" s="137"/>
      <c r="L4" s="137"/>
      <c r="M4" s="137"/>
      <c r="N4" s="137"/>
      <c r="O4" s="137"/>
    </row>
    <row r="5" spans="5:20" s="138" customFormat="1" ht="19.5">
      <c r="E5" s="197" t="s">
        <v>112</v>
      </c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345" t="s">
        <v>65</v>
      </c>
      <c r="Q5" s="345"/>
      <c r="R5" s="345"/>
    </row>
    <row r="6" spans="5:20" s="138" customFormat="1" ht="19.5">
      <c r="E6" s="197" t="s">
        <v>75</v>
      </c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345"/>
      <c r="Q6" s="345"/>
      <c r="R6" s="345"/>
    </row>
    <row r="7" spans="5:20" ht="15.75" customHeight="1">
      <c r="E7" s="197" t="s">
        <v>76</v>
      </c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</row>
    <row r="8" spans="5:20" ht="15.75" customHeight="1">
      <c r="E8" s="197" t="s">
        <v>77</v>
      </c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</row>
    <row r="9" spans="5:20" ht="6" customHeight="1" thickBot="1">
      <c r="E9" s="142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</row>
    <row r="10" spans="5:20" s="143" customFormat="1" ht="29.25" customHeight="1" thickTop="1" thickBot="1">
      <c r="E10" s="199" t="s">
        <v>59</v>
      </c>
      <c r="F10" s="199" t="s">
        <v>0</v>
      </c>
      <c r="G10" s="199" t="s">
        <v>1</v>
      </c>
      <c r="H10" s="199" t="s">
        <v>2</v>
      </c>
      <c r="I10" s="199" t="s">
        <v>3</v>
      </c>
      <c r="J10" s="199" t="s">
        <v>4</v>
      </c>
      <c r="K10" s="199" t="s">
        <v>5</v>
      </c>
      <c r="L10" s="199" t="s">
        <v>6</v>
      </c>
      <c r="M10" s="199" t="s">
        <v>7</v>
      </c>
      <c r="N10" s="199" t="s">
        <v>8</v>
      </c>
      <c r="O10" s="199" t="s">
        <v>9</v>
      </c>
      <c r="P10" s="199" t="s">
        <v>10</v>
      </c>
      <c r="Q10" s="199" t="s">
        <v>11</v>
      </c>
      <c r="R10" s="199" t="s">
        <v>12</v>
      </c>
    </row>
    <row r="11" spans="5:20" s="143" customFormat="1" ht="29.25" customHeight="1" thickTop="1">
      <c r="E11" s="144" t="s">
        <v>97</v>
      </c>
      <c r="F11" s="145">
        <f t="shared" ref="F11:Q11" si="0">+F12+F47</f>
        <v>5192843.9399999995</v>
      </c>
      <c r="G11" s="145">
        <f t="shared" si="0"/>
        <v>6709973.6600000001</v>
      </c>
      <c r="H11" s="145">
        <f t="shared" si="0"/>
        <v>6846626.8799999999</v>
      </c>
      <c r="I11" s="145">
        <f t="shared" si="0"/>
        <v>6866846.9899999993</v>
      </c>
      <c r="J11" s="145">
        <f t="shared" si="0"/>
        <v>6862511.5099999998</v>
      </c>
      <c r="K11" s="145">
        <f t="shared" si="0"/>
        <v>6266066.71</v>
      </c>
      <c r="L11" s="145">
        <f t="shared" si="0"/>
        <v>0</v>
      </c>
      <c r="M11" s="145">
        <f t="shared" si="0"/>
        <v>0</v>
      </c>
      <c r="N11" s="145">
        <f t="shared" si="0"/>
        <v>0</v>
      </c>
      <c r="O11" s="145">
        <f t="shared" si="0"/>
        <v>0</v>
      </c>
      <c r="P11" s="145">
        <f t="shared" si="0"/>
        <v>0</v>
      </c>
      <c r="Q11" s="145">
        <f t="shared" si="0"/>
        <v>0</v>
      </c>
      <c r="R11" s="145">
        <f>SUM(F11:Q11)</f>
        <v>38744869.689999998</v>
      </c>
      <c r="S11" s="146">
        <f>+R11-'SPF-A01'!V15</f>
        <v>0</v>
      </c>
    </row>
    <row r="12" spans="5:20" s="143" customFormat="1" ht="29.25" customHeight="1">
      <c r="E12" s="147" t="s">
        <v>89</v>
      </c>
      <c r="F12" s="148">
        <f t="shared" ref="F12:Q12" si="1">+F13+F37+F44</f>
        <v>5192843.9399999995</v>
      </c>
      <c r="G12" s="148">
        <f t="shared" si="1"/>
        <v>6709973.6600000001</v>
      </c>
      <c r="H12" s="148">
        <f t="shared" si="1"/>
        <v>6846626.8799999999</v>
      </c>
      <c r="I12" s="148">
        <f t="shared" si="1"/>
        <v>6866846.9899999993</v>
      </c>
      <c r="J12" s="148">
        <f t="shared" si="1"/>
        <v>6862511.5099999998</v>
      </c>
      <c r="K12" s="148">
        <f t="shared" si="1"/>
        <v>6266066.71</v>
      </c>
      <c r="L12" s="148">
        <f t="shared" si="1"/>
        <v>0</v>
      </c>
      <c r="M12" s="148">
        <f t="shared" si="1"/>
        <v>0</v>
      </c>
      <c r="N12" s="148">
        <f t="shared" si="1"/>
        <v>0</v>
      </c>
      <c r="O12" s="148">
        <f t="shared" si="1"/>
        <v>0</v>
      </c>
      <c r="P12" s="148">
        <f t="shared" si="1"/>
        <v>0</v>
      </c>
      <c r="Q12" s="148">
        <f t="shared" si="1"/>
        <v>0</v>
      </c>
      <c r="R12" s="148">
        <f>SUM(F12:Q12)</f>
        <v>38744869.689999998</v>
      </c>
    </row>
    <row r="13" spans="5:20" s="152" customFormat="1" ht="25.5" customHeight="1">
      <c r="E13" s="149" t="s">
        <v>90</v>
      </c>
      <c r="F13" s="150">
        <f t="shared" ref="F13:Q13" si="2">F15+F17+F22+F25+F29</f>
        <v>5192843.9399999995</v>
      </c>
      <c r="G13" s="150">
        <f t="shared" si="2"/>
        <v>4549440.66</v>
      </c>
      <c r="H13" s="150">
        <f t="shared" si="2"/>
        <v>4636093.88</v>
      </c>
      <c r="I13" s="150">
        <f t="shared" si="2"/>
        <v>4656313.9899999993</v>
      </c>
      <c r="J13" s="150">
        <f t="shared" si="2"/>
        <v>4651978.51</v>
      </c>
      <c r="K13" s="150">
        <f t="shared" si="2"/>
        <v>4055533.71</v>
      </c>
      <c r="L13" s="150">
        <f t="shared" si="2"/>
        <v>0</v>
      </c>
      <c r="M13" s="150">
        <f t="shared" si="2"/>
        <v>0</v>
      </c>
      <c r="N13" s="150">
        <f t="shared" si="2"/>
        <v>0</v>
      </c>
      <c r="O13" s="150">
        <f t="shared" si="2"/>
        <v>0</v>
      </c>
      <c r="P13" s="150">
        <f t="shared" si="2"/>
        <v>0</v>
      </c>
      <c r="Q13" s="150">
        <f t="shared" si="2"/>
        <v>0</v>
      </c>
      <c r="R13" s="150">
        <f>SUM(F13:Q13)</f>
        <v>27742204.689999998</v>
      </c>
      <c r="S13" s="151"/>
      <c r="T13" s="151"/>
    </row>
    <row r="14" spans="5:20" s="152" customFormat="1" ht="25.5" customHeight="1">
      <c r="E14" s="153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1"/>
      <c r="T14" s="151"/>
    </row>
    <row r="15" spans="5:20" s="152" customFormat="1" ht="20.100000000000001" customHeight="1">
      <c r="E15" s="153" t="s">
        <v>14</v>
      </c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0"/>
      <c r="S15" s="143"/>
      <c r="T15" s="143"/>
    </row>
    <row r="16" spans="5:20" s="152" customFormat="1" ht="20.100000000000001" customHeight="1">
      <c r="E16" s="153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0"/>
      <c r="S16" s="143"/>
      <c r="T16" s="143"/>
    </row>
    <row r="17" spans="5:20" s="152" customFormat="1" ht="20.100000000000001" customHeight="1">
      <c r="E17" s="153" t="s">
        <v>15</v>
      </c>
      <c r="F17" s="150">
        <f t="shared" ref="F17:R17" si="3">SUM(F18:F20)</f>
        <v>5054405.72</v>
      </c>
      <c r="G17" s="150">
        <f t="shared" si="3"/>
        <v>4417213.84</v>
      </c>
      <c r="H17" s="150">
        <f t="shared" si="3"/>
        <v>4489244.75</v>
      </c>
      <c r="I17" s="150">
        <f t="shared" si="3"/>
        <v>4496265.75</v>
      </c>
      <c r="J17" s="150">
        <f t="shared" si="3"/>
        <v>4441365.3</v>
      </c>
      <c r="K17" s="150">
        <f t="shared" si="3"/>
        <v>3893596.9</v>
      </c>
      <c r="L17" s="150">
        <f t="shared" si="3"/>
        <v>0</v>
      </c>
      <c r="M17" s="150">
        <f t="shared" si="3"/>
        <v>0</v>
      </c>
      <c r="N17" s="150">
        <f t="shared" si="3"/>
        <v>0</v>
      </c>
      <c r="O17" s="150">
        <f t="shared" si="3"/>
        <v>0</v>
      </c>
      <c r="P17" s="150">
        <f t="shared" si="3"/>
        <v>0</v>
      </c>
      <c r="Q17" s="150">
        <f t="shared" si="3"/>
        <v>0</v>
      </c>
      <c r="R17" s="155">
        <f t="shared" si="3"/>
        <v>26792092.259999998</v>
      </c>
      <c r="S17" s="143"/>
      <c r="T17" s="143"/>
    </row>
    <row r="18" spans="5:20" s="152" customFormat="1" ht="20.100000000000001" customHeight="1">
      <c r="E18" s="156" t="s">
        <v>106</v>
      </c>
      <c r="F18" s="154">
        <v>4322282.5999999996</v>
      </c>
      <c r="G18" s="154">
        <v>3908068.32</v>
      </c>
      <c r="H18" s="154">
        <v>3658650.93</v>
      </c>
      <c r="I18" s="154">
        <v>3858320.21</v>
      </c>
      <c r="J18" s="154">
        <v>3803157.36</v>
      </c>
      <c r="K18" s="154">
        <v>3229915.43</v>
      </c>
      <c r="L18" s="154"/>
      <c r="M18" s="154"/>
      <c r="N18" s="154"/>
      <c r="O18" s="154"/>
      <c r="P18" s="154"/>
      <c r="Q18" s="154"/>
      <c r="R18" s="155">
        <f>SUM(F18:Q18)</f>
        <v>22780394.849999998</v>
      </c>
      <c r="S18" s="143"/>
      <c r="T18" s="143"/>
    </row>
    <row r="19" spans="5:20" s="152" customFormat="1" ht="20.100000000000001" customHeight="1">
      <c r="E19" s="156" t="s">
        <v>107</v>
      </c>
      <c r="F19" s="154">
        <v>203599.03</v>
      </c>
      <c r="G19" s="154">
        <v>38119.360000000001</v>
      </c>
      <c r="H19" s="154">
        <v>360890.86</v>
      </c>
      <c r="I19" s="154">
        <v>203524.54</v>
      </c>
      <c r="J19" s="154">
        <v>122587.92</v>
      </c>
      <c r="K19" s="154">
        <v>224172.88</v>
      </c>
      <c r="L19" s="154"/>
      <c r="M19" s="154"/>
      <c r="N19" s="154"/>
      <c r="O19" s="154"/>
      <c r="P19" s="154"/>
      <c r="Q19" s="154"/>
      <c r="R19" s="155">
        <f>SUM(F19:Q19)</f>
        <v>1152894.5900000001</v>
      </c>
      <c r="S19" s="143"/>
      <c r="T19" s="143"/>
    </row>
    <row r="20" spans="5:20" s="152" customFormat="1" ht="20.100000000000001" customHeight="1">
      <c r="E20" s="156" t="s">
        <v>110</v>
      </c>
      <c r="F20" s="154">
        <v>528524.09</v>
      </c>
      <c r="G20" s="154">
        <v>471026.16000000003</v>
      </c>
      <c r="H20" s="154">
        <v>469702.96</v>
      </c>
      <c r="I20" s="154">
        <v>434421</v>
      </c>
      <c r="J20" s="154">
        <v>515620.02</v>
      </c>
      <c r="K20" s="154">
        <v>439508.59</v>
      </c>
      <c r="L20" s="154"/>
      <c r="M20" s="154"/>
      <c r="N20" s="154"/>
      <c r="O20" s="154"/>
      <c r="P20" s="154"/>
      <c r="Q20" s="154"/>
      <c r="R20" s="155">
        <f>SUM(F20:Q20)</f>
        <v>2858802.82</v>
      </c>
      <c r="S20" s="143"/>
      <c r="T20" s="143"/>
    </row>
    <row r="21" spans="5:20" s="152" customFormat="1" ht="20.100000000000001" customHeight="1">
      <c r="E21" s="153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5"/>
      <c r="S21" s="143"/>
      <c r="T21" s="143"/>
    </row>
    <row r="22" spans="5:20" s="152" customFormat="1" ht="20.100000000000001" customHeight="1">
      <c r="E22" s="112" t="s">
        <v>16</v>
      </c>
      <c r="F22" s="107">
        <f>+F23</f>
        <v>131605.72</v>
      </c>
      <c r="G22" s="107">
        <f t="shared" ref="G22:Q22" si="4">+G23</f>
        <v>103239.42</v>
      </c>
      <c r="H22" s="107">
        <f t="shared" si="4"/>
        <v>140345.42000000001</v>
      </c>
      <c r="I22" s="107">
        <f t="shared" si="4"/>
        <v>129444.97</v>
      </c>
      <c r="J22" s="107">
        <f t="shared" si="4"/>
        <v>129725.05</v>
      </c>
      <c r="K22" s="107">
        <f t="shared" si="4"/>
        <v>135154.23000000001</v>
      </c>
      <c r="L22" s="107">
        <f t="shared" si="4"/>
        <v>0</v>
      </c>
      <c r="M22" s="107">
        <f t="shared" si="4"/>
        <v>0</v>
      </c>
      <c r="N22" s="107">
        <f t="shared" si="4"/>
        <v>0</v>
      </c>
      <c r="O22" s="107">
        <f t="shared" si="4"/>
        <v>0</v>
      </c>
      <c r="P22" s="107">
        <f t="shared" si="4"/>
        <v>0</v>
      </c>
      <c r="Q22" s="107">
        <f t="shared" si="4"/>
        <v>0</v>
      </c>
      <c r="R22" s="107">
        <f>SUM(F22:Q22)</f>
        <v>769514.81</v>
      </c>
      <c r="S22" s="143"/>
      <c r="T22" s="143"/>
    </row>
    <row r="23" spans="5:20" s="152" customFormat="1" ht="20.100000000000001" customHeight="1">
      <c r="E23" s="118" t="s">
        <v>105</v>
      </c>
      <c r="F23" s="111">
        <v>131605.72</v>
      </c>
      <c r="G23" s="111">
        <v>103239.42</v>
      </c>
      <c r="H23" s="111">
        <v>140345.42000000001</v>
      </c>
      <c r="I23" s="111">
        <v>129444.97</v>
      </c>
      <c r="J23" s="111">
        <v>129725.05</v>
      </c>
      <c r="K23" s="111">
        <v>135154.23000000001</v>
      </c>
      <c r="L23" s="111"/>
      <c r="M23" s="111"/>
      <c r="N23" s="111"/>
      <c r="O23" s="111"/>
      <c r="P23" s="111"/>
      <c r="Q23" s="111"/>
      <c r="R23" s="110">
        <f>SUM(F23:Q23)</f>
        <v>769514.81</v>
      </c>
      <c r="S23" s="143"/>
      <c r="T23" s="143"/>
    </row>
    <row r="24" spans="5:20" s="152" customFormat="1" ht="20.100000000000001" customHeight="1">
      <c r="E24" s="157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5"/>
      <c r="S24" s="143"/>
      <c r="T24" s="143"/>
    </row>
    <row r="25" spans="5:20" s="152" customFormat="1" ht="20.100000000000001" customHeight="1">
      <c r="E25" s="153" t="s">
        <v>17</v>
      </c>
      <c r="F25" s="150">
        <f t="shared" ref="F25:Q25" si="5">SUM(F26:F27)+F33</f>
        <v>6832.5</v>
      </c>
      <c r="G25" s="150">
        <f t="shared" si="5"/>
        <v>28987.4</v>
      </c>
      <c r="H25" s="150">
        <f t="shared" si="5"/>
        <v>6503.71</v>
      </c>
      <c r="I25" s="150">
        <f t="shared" si="5"/>
        <v>30603.27</v>
      </c>
      <c r="J25" s="150">
        <f t="shared" si="5"/>
        <v>80888.160000000003</v>
      </c>
      <c r="K25" s="150">
        <f t="shared" si="5"/>
        <v>26782.58</v>
      </c>
      <c r="L25" s="150">
        <f t="shared" si="5"/>
        <v>0</v>
      </c>
      <c r="M25" s="150">
        <f t="shared" si="5"/>
        <v>0</v>
      </c>
      <c r="N25" s="150">
        <f t="shared" si="5"/>
        <v>0</v>
      </c>
      <c r="O25" s="150">
        <f t="shared" si="5"/>
        <v>0</v>
      </c>
      <c r="P25" s="150">
        <f t="shared" si="5"/>
        <v>0</v>
      </c>
      <c r="Q25" s="150">
        <f t="shared" si="5"/>
        <v>0</v>
      </c>
      <c r="R25" s="155">
        <f>SUM(F25:Q25)</f>
        <v>180597.62</v>
      </c>
      <c r="S25" s="143"/>
      <c r="T25" s="143"/>
    </row>
    <row r="26" spans="5:20" s="152" customFormat="1" ht="20.100000000000001" customHeight="1">
      <c r="E26" s="156" t="s">
        <v>109</v>
      </c>
      <c r="F26" s="154">
        <v>6832.5</v>
      </c>
      <c r="G26" s="154">
        <v>28987.4</v>
      </c>
      <c r="H26" s="154">
        <v>6503.71</v>
      </c>
      <c r="I26" s="154">
        <v>30603.27</v>
      </c>
      <c r="J26" s="154">
        <v>9985.59</v>
      </c>
      <c r="K26" s="154">
        <v>26782.58</v>
      </c>
      <c r="L26" s="154"/>
      <c r="M26" s="154"/>
      <c r="N26" s="154"/>
      <c r="O26" s="154"/>
      <c r="P26" s="178"/>
      <c r="Q26" s="154"/>
      <c r="R26" s="155">
        <f>SUM(F26:Q26)</f>
        <v>109695.05</v>
      </c>
      <c r="S26" s="143"/>
      <c r="T26" s="143"/>
    </row>
    <row r="27" spans="5:20" s="152" customFormat="1" ht="20.100000000000001" customHeight="1">
      <c r="E27" s="156" t="s">
        <v>136</v>
      </c>
      <c r="F27" s="154" t="s">
        <v>133</v>
      </c>
      <c r="G27" s="154"/>
      <c r="H27" s="154"/>
      <c r="I27" s="154"/>
      <c r="J27" s="154">
        <v>70902.570000000007</v>
      </c>
      <c r="K27" s="154">
        <v>0</v>
      </c>
      <c r="L27" s="154"/>
      <c r="M27" s="154"/>
      <c r="N27" s="154"/>
      <c r="O27" s="154"/>
      <c r="P27" s="154"/>
      <c r="Q27" s="154"/>
      <c r="R27" s="155"/>
      <c r="S27" s="143"/>
      <c r="T27" s="143"/>
    </row>
    <row r="28" spans="5:20" s="152" customFormat="1" ht="20.100000000000001" customHeight="1">
      <c r="E28" s="153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5"/>
      <c r="S28" s="143"/>
      <c r="T28" s="143"/>
    </row>
    <row r="29" spans="5:20" s="143" customFormat="1" ht="20.100000000000001" customHeight="1">
      <c r="E29" s="153" t="s">
        <v>26</v>
      </c>
      <c r="F29" s="158">
        <f t="shared" ref="F29:Q29" si="6">F30+F31</f>
        <v>0</v>
      </c>
      <c r="G29" s="158">
        <f t="shared" si="6"/>
        <v>0</v>
      </c>
      <c r="H29" s="158">
        <f t="shared" si="6"/>
        <v>0</v>
      </c>
      <c r="I29" s="158">
        <f t="shared" si="6"/>
        <v>0</v>
      </c>
      <c r="J29" s="158">
        <f t="shared" si="6"/>
        <v>0</v>
      </c>
      <c r="K29" s="158">
        <f t="shared" si="6"/>
        <v>0</v>
      </c>
      <c r="L29" s="158">
        <f t="shared" si="6"/>
        <v>0</v>
      </c>
      <c r="M29" s="158">
        <f t="shared" si="6"/>
        <v>0</v>
      </c>
      <c r="N29" s="158">
        <f t="shared" si="6"/>
        <v>0</v>
      </c>
      <c r="O29" s="158">
        <f t="shared" si="6"/>
        <v>0</v>
      </c>
      <c r="P29" s="158">
        <f t="shared" si="6"/>
        <v>0</v>
      </c>
      <c r="Q29" s="158">
        <f t="shared" si="6"/>
        <v>0</v>
      </c>
      <c r="R29" s="155">
        <f>SUM(F29:Q29)</f>
        <v>0</v>
      </c>
    </row>
    <row r="30" spans="5:20" s="152" customFormat="1" ht="20.100000000000001" customHeight="1">
      <c r="E30" s="156" t="s">
        <v>101</v>
      </c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5"/>
      <c r="S30" s="143"/>
      <c r="T30" s="143"/>
    </row>
    <row r="31" spans="5:20" s="152" customFormat="1" ht="20.25" customHeight="1">
      <c r="E31" s="156" t="s">
        <v>100</v>
      </c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5"/>
      <c r="S31" s="143"/>
      <c r="T31" s="143"/>
    </row>
    <row r="32" spans="5:20" s="152" customFormat="1" ht="20.25" customHeight="1">
      <c r="E32" s="159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5"/>
      <c r="S32" s="143"/>
      <c r="T32" s="143"/>
    </row>
    <row r="33" spans="5:20" s="152" customFormat="1" ht="19.5" customHeight="1">
      <c r="E33" s="153" t="s">
        <v>66</v>
      </c>
      <c r="F33" s="155">
        <f t="shared" ref="F33:Q33" si="7">SUM(F34:F35)</f>
        <v>0</v>
      </c>
      <c r="G33" s="155">
        <f t="shared" si="7"/>
        <v>0</v>
      </c>
      <c r="H33" s="155">
        <f t="shared" si="7"/>
        <v>0</v>
      </c>
      <c r="I33" s="155">
        <f t="shared" si="7"/>
        <v>0</v>
      </c>
      <c r="J33" s="155">
        <f t="shared" si="7"/>
        <v>0</v>
      </c>
      <c r="K33" s="155">
        <f t="shared" si="7"/>
        <v>0</v>
      </c>
      <c r="L33" s="155">
        <f t="shared" si="7"/>
        <v>0</v>
      </c>
      <c r="M33" s="155">
        <f t="shared" si="7"/>
        <v>0</v>
      </c>
      <c r="N33" s="155">
        <f t="shared" si="7"/>
        <v>0</v>
      </c>
      <c r="O33" s="155">
        <f t="shared" si="7"/>
        <v>0</v>
      </c>
      <c r="P33" s="155">
        <f t="shared" si="7"/>
        <v>0</v>
      </c>
      <c r="Q33" s="155">
        <f t="shared" si="7"/>
        <v>0</v>
      </c>
      <c r="R33" s="155">
        <f>SUM(F33:Q33)</f>
        <v>0</v>
      </c>
      <c r="S33" s="143"/>
      <c r="T33" s="143"/>
    </row>
    <row r="34" spans="5:20" s="152" customFormat="1" ht="20.100000000000001" customHeight="1">
      <c r="E34" s="156" t="s">
        <v>67</v>
      </c>
      <c r="F34" s="154"/>
      <c r="G34" s="154"/>
      <c r="H34" s="154"/>
      <c r="I34" s="158"/>
      <c r="J34" s="158"/>
      <c r="K34" s="158"/>
      <c r="L34" s="158"/>
      <c r="M34" s="158"/>
      <c r="N34" s="158"/>
      <c r="O34" s="158"/>
      <c r="P34" s="158">
        <v>0</v>
      </c>
      <c r="Q34" s="158">
        <v>0</v>
      </c>
      <c r="R34" s="155">
        <f>SUM(F34:Q34)</f>
        <v>0</v>
      </c>
      <c r="S34" s="143"/>
      <c r="T34" s="143"/>
    </row>
    <row r="35" spans="5:20" s="152" customFormat="1" ht="20.100000000000001" customHeight="1">
      <c r="E35" s="156" t="s">
        <v>68</v>
      </c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5"/>
      <c r="S35" s="143"/>
      <c r="T35" s="143"/>
    </row>
    <row r="36" spans="5:20" s="143" customFormat="1" ht="20.100000000000001" customHeight="1">
      <c r="E36" s="160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5"/>
    </row>
    <row r="37" spans="5:20" s="152" customFormat="1" ht="33" customHeight="1">
      <c r="E37" s="147" t="s">
        <v>102</v>
      </c>
      <c r="F37" s="161">
        <f t="shared" ref="F37:Q37" si="8">F38+F41</f>
        <v>0</v>
      </c>
      <c r="G37" s="161">
        <f t="shared" si="8"/>
        <v>2160533</v>
      </c>
      <c r="H37" s="161">
        <f t="shared" si="8"/>
        <v>2210533</v>
      </c>
      <c r="I37" s="161">
        <f t="shared" si="8"/>
        <v>2210533</v>
      </c>
      <c r="J37" s="161">
        <f t="shared" si="8"/>
        <v>2210533</v>
      </c>
      <c r="K37" s="161">
        <f t="shared" si="8"/>
        <v>2210533</v>
      </c>
      <c r="L37" s="161">
        <f t="shared" si="8"/>
        <v>0</v>
      </c>
      <c r="M37" s="161">
        <f t="shared" si="8"/>
        <v>0</v>
      </c>
      <c r="N37" s="161">
        <f t="shared" si="8"/>
        <v>0</v>
      </c>
      <c r="O37" s="161">
        <f t="shared" si="8"/>
        <v>0</v>
      </c>
      <c r="P37" s="161">
        <f t="shared" si="8"/>
        <v>0</v>
      </c>
      <c r="Q37" s="161">
        <f t="shared" si="8"/>
        <v>0</v>
      </c>
      <c r="R37" s="161">
        <f>SUM(F37:Q37)</f>
        <v>11002665</v>
      </c>
      <c r="S37" s="143"/>
      <c r="T37" s="143"/>
    </row>
    <row r="38" spans="5:20" s="152" customFormat="1" ht="21" customHeight="1">
      <c r="E38" s="156" t="s">
        <v>18</v>
      </c>
      <c r="F38" s="158">
        <f>F39+F40</f>
        <v>0</v>
      </c>
      <c r="G38" s="158">
        <f t="shared" ref="G38:Q38" si="9">G39+G40</f>
        <v>2160533</v>
      </c>
      <c r="H38" s="158">
        <f t="shared" si="9"/>
        <v>2210533</v>
      </c>
      <c r="I38" s="158">
        <f t="shared" si="9"/>
        <v>2210533</v>
      </c>
      <c r="J38" s="158">
        <f t="shared" si="9"/>
        <v>2210533</v>
      </c>
      <c r="K38" s="158">
        <f t="shared" si="9"/>
        <v>2210533</v>
      </c>
      <c r="L38" s="158">
        <f t="shared" si="9"/>
        <v>0</v>
      </c>
      <c r="M38" s="158">
        <f t="shared" si="9"/>
        <v>0</v>
      </c>
      <c r="N38" s="158">
        <f t="shared" si="9"/>
        <v>0</v>
      </c>
      <c r="O38" s="158">
        <f t="shared" si="9"/>
        <v>0</v>
      </c>
      <c r="P38" s="158">
        <f t="shared" si="9"/>
        <v>0</v>
      </c>
      <c r="Q38" s="158">
        <f t="shared" si="9"/>
        <v>0</v>
      </c>
      <c r="R38" s="155">
        <f>SUM(F38:Q38)</f>
        <v>11002665</v>
      </c>
      <c r="S38" s="151"/>
      <c r="T38" s="151"/>
    </row>
    <row r="39" spans="5:20" s="152" customFormat="1" ht="20.100000000000001" customHeight="1">
      <c r="E39" s="156" t="s">
        <v>19</v>
      </c>
      <c r="F39" s="162">
        <v>0</v>
      </c>
      <c r="G39" s="162">
        <v>2160533</v>
      </c>
      <c r="H39" s="162">
        <v>2210533</v>
      </c>
      <c r="I39" s="162">
        <v>2210533</v>
      </c>
      <c r="J39" s="162">
        <v>2210533</v>
      </c>
      <c r="K39" s="162">
        <v>2210533</v>
      </c>
      <c r="L39" s="162">
        <v>0</v>
      </c>
      <c r="M39" s="162">
        <v>0</v>
      </c>
      <c r="N39" s="162">
        <v>0</v>
      </c>
      <c r="O39" s="162">
        <v>0</v>
      </c>
      <c r="P39" s="162">
        <v>0</v>
      </c>
      <c r="Q39" s="162">
        <v>0</v>
      </c>
      <c r="R39" s="163">
        <f>SUM(F39:Q39)</f>
        <v>11002665</v>
      </c>
      <c r="S39" s="143"/>
      <c r="T39" s="143"/>
    </row>
    <row r="40" spans="5:20" s="143" customFormat="1" ht="15" customHeight="1">
      <c r="E40" s="156" t="s">
        <v>20</v>
      </c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3"/>
    </row>
    <row r="41" spans="5:20" s="143" customFormat="1" ht="15" customHeight="1">
      <c r="E41" s="156" t="s">
        <v>21</v>
      </c>
      <c r="F41" s="158">
        <f t="shared" ref="F41:Q41" si="10">F42+F43</f>
        <v>0</v>
      </c>
      <c r="G41" s="158">
        <f t="shared" si="10"/>
        <v>0</v>
      </c>
      <c r="H41" s="158">
        <f t="shared" si="10"/>
        <v>0</v>
      </c>
      <c r="I41" s="158">
        <f t="shared" si="10"/>
        <v>0</v>
      </c>
      <c r="J41" s="158">
        <f t="shared" si="10"/>
        <v>0</v>
      </c>
      <c r="K41" s="158">
        <f t="shared" si="10"/>
        <v>0</v>
      </c>
      <c r="L41" s="158">
        <f t="shared" si="10"/>
        <v>0</v>
      </c>
      <c r="M41" s="158">
        <f t="shared" si="10"/>
        <v>0</v>
      </c>
      <c r="N41" s="158">
        <f t="shared" si="10"/>
        <v>0</v>
      </c>
      <c r="O41" s="158">
        <f t="shared" si="10"/>
        <v>0</v>
      </c>
      <c r="P41" s="158">
        <f t="shared" si="10"/>
        <v>0</v>
      </c>
      <c r="Q41" s="158">
        <f t="shared" si="10"/>
        <v>0</v>
      </c>
      <c r="R41" s="155">
        <f>SUM(F41:Q41)</f>
        <v>0</v>
      </c>
    </row>
    <row r="42" spans="5:20" s="143" customFormat="1" ht="20.100000000000001" customHeight="1">
      <c r="E42" s="156" t="s">
        <v>19</v>
      </c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3"/>
    </row>
    <row r="43" spans="5:20" s="143" customFormat="1" ht="15" customHeight="1">
      <c r="E43" s="156" t="s">
        <v>22</v>
      </c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3"/>
    </row>
    <row r="44" spans="5:20" s="143" customFormat="1" ht="39" customHeight="1">
      <c r="E44" s="147" t="s">
        <v>96</v>
      </c>
      <c r="F44" s="161">
        <f t="shared" ref="F44:Q44" si="11">F45+F46</f>
        <v>0</v>
      </c>
      <c r="G44" s="161">
        <f t="shared" si="11"/>
        <v>0</v>
      </c>
      <c r="H44" s="161">
        <f t="shared" si="11"/>
        <v>0</v>
      </c>
      <c r="I44" s="161">
        <f t="shared" si="11"/>
        <v>0</v>
      </c>
      <c r="J44" s="161">
        <f t="shared" si="11"/>
        <v>0</v>
      </c>
      <c r="K44" s="161">
        <f t="shared" si="11"/>
        <v>0</v>
      </c>
      <c r="L44" s="161">
        <f t="shared" si="11"/>
        <v>0</v>
      </c>
      <c r="M44" s="161">
        <f t="shared" si="11"/>
        <v>0</v>
      </c>
      <c r="N44" s="161">
        <f t="shared" si="11"/>
        <v>0</v>
      </c>
      <c r="O44" s="161">
        <f t="shared" si="11"/>
        <v>0</v>
      </c>
      <c r="P44" s="161">
        <f t="shared" si="11"/>
        <v>0</v>
      </c>
      <c r="Q44" s="161">
        <f t="shared" si="11"/>
        <v>0</v>
      </c>
      <c r="R44" s="161">
        <f>SUM(F44:Q44)</f>
        <v>0</v>
      </c>
    </row>
    <row r="45" spans="5:20" s="152" customFormat="1" ht="18" customHeight="1">
      <c r="E45" s="156" t="s">
        <v>18</v>
      </c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5"/>
      <c r="S45" s="151"/>
      <c r="T45" s="151"/>
    </row>
    <row r="46" spans="5:20" s="152" customFormat="1" ht="20.100000000000001" customHeight="1">
      <c r="E46" s="156" t="s">
        <v>21</v>
      </c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5"/>
      <c r="S46" s="143"/>
      <c r="T46" s="143"/>
    </row>
    <row r="47" spans="5:20" s="152" customFormat="1" ht="20.100000000000001" customHeight="1">
      <c r="E47" s="147" t="s">
        <v>92</v>
      </c>
      <c r="F47" s="161">
        <f t="shared" ref="F47:Q47" si="12">+F48</f>
        <v>0</v>
      </c>
      <c r="G47" s="161">
        <f t="shared" si="12"/>
        <v>0</v>
      </c>
      <c r="H47" s="161">
        <f t="shared" si="12"/>
        <v>0</v>
      </c>
      <c r="I47" s="161">
        <f t="shared" si="12"/>
        <v>0</v>
      </c>
      <c r="J47" s="161">
        <f t="shared" si="12"/>
        <v>0</v>
      </c>
      <c r="K47" s="161">
        <f t="shared" si="12"/>
        <v>0</v>
      </c>
      <c r="L47" s="161">
        <f t="shared" si="12"/>
        <v>0</v>
      </c>
      <c r="M47" s="161">
        <f t="shared" si="12"/>
        <v>0</v>
      </c>
      <c r="N47" s="161">
        <f t="shared" si="12"/>
        <v>0</v>
      </c>
      <c r="O47" s="161">
        <f t="shared" si="12"/>
        <v>0</v>
      </c>
      <c r="P47" s="161">
        <f t="shared" si="12"/>
        <v>0</v>
      </c>
      <c r="Q47" s="161">
        <f t="shared" si="12"/>
        <v>0</v>
      </c>
      <c r="R47" s="161">
        <f>SUM(F47:Q47)</f>
        <v>0</v>
      </c>
      <c r="S47" s="143"/>
      <c r="T47" s="143"/>
    </row>
    <row r="48" spans="5:20" s="152" customFormat="1" ht="23.45" customHeight="1">
      <c r="E48" s="153" t="s">
        <v>93</v>
      </c>
      <c r="F48" s="155">
        <f t="shared" ref="F48:Q48" si="13">+F49+F50</f>
        <v>0</v>
      </c>
      <c r="G48" s="155">
        <f t="shared" si="13"/>
        <v>0</v>
      </c>
      <c r="H48" s="155">
        <f t="shared" si="13"/>
        <v>0</v>
      </c>
      <c r="I48" s="155">
        <f t="shared" si="13"/>
        <v>0</v>
      </c>
      <c r="J48" s="155">
        <f t="shared" si="13"/>
        <v>0</v>
      </c>
      <c r="K48" s="155">
        <f t="shared" si="13"/>
        <v>0</v>
      </c>
      <c r="L48" s="155">
        <f t="shared" si="13"/>
        <v>0</v>
      </c>
      <c r="M48" s="155">
        <f t="shared" si="13"/>
        <v>0</v>
      </c>
      <c r="N48" s="155">
        <f t="shared" si="13"/>
        <v>0</v>
      </c>
      <c r="O48" s="155">
        <f t="shared" si="13"/>
        <v>0</v>
      </c>
      <c r="P48" s="155">
        <f t="shared" si="13"/>
        <v>0</v>
      </c>
      <c r="Q48" s="155">
        <f t="shared" si="13"/>
        <v>0</v>
      </c>
      <c r="R48" s="155">
        <f>SUM(F48:Q48)</f>
        <v>0</v>
      </c>
      <c r="S48" s="143"/>
      <c r="T48" s="143"/>
    </row>
    <row r="49" spans="5:20" s="152" customFormat="1" ht="21.75" customHeight="1">
      <c r="E49" s="156" t="s">
        <v>24</v>
      </c>
      <c r="F49" s="158">
        <v>0</v>
      </c>
      <c r="G49" s="158">
        <v>0</v>
      </c>
      <c r="H49" s="158">
        <v>0</v>
      </c>
      <c r="I49" s="158">
        <v>0</v>
      </c>
      <c r="J49" s="158">
        <v>0</v>
      </c>
      <c r="K49" s="158">
        <v>0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5">
        <f>SUM(F49:Q49)</f>
        <v>0</v>
      </c>
      <c r="S49" s="151"/>
      <c r="T49" s="151"/>
    </row>
    <row r="50" spans="5:20" s="152" customFormat="1" ht="20.100000000000001" customHeight="1">
      <c r="E50" s="156" t="s">
        <v>25</v>
      </c>
      <c r="F50" s="158">
        <v>0</v>
      </c>
      <c r="G50" s="158">
        <v>0</v>
      </c>
      <c r="H50" s="158">
        <v>0</v>
      </c>
      <c r="I50" s="158">
        <v>0</v>
      </c>
      <c r="J50" s="158">
        <v>0</v>
      </c>
      <c r="K50" s="158">
        <v>0</v>
      </c>
      <c r="L50" s="158">
        <v>0</v>
      </c>
      <c r="M50" s="158">
        <v>0</v>
      </c>
      <c r="N50" s="158">
        <v>0</v>
      </c>
      <c r="O50" s="158">
        <v>0</v>
      </c>
      <c r="P50" s="158">
        <v>0</v>
      </c>
      <c r="Q50" s="158">
        <v>0</v>
      </c>
      <c r="R50" s="155">
        <f>SUM(F50:Q50)</f>
        <v>0</v>
      </c>
      <c r="S50" s="143"/>
      <c r="T50" s="143"/>
    </row>
    <row r="51" spans="5:20" s="152" customFormat="1" ht="19.5" customHeight="1" thickBot="1">
      <c r="E51" s="164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6"/>
      <c r="T51" s="143"/>
    </row>
    <row r="52" spans="5:20" s="169" customFormat="1" ht="20.100000000000001" customHeight="1" thickTop="1" thickBot="1">
      <c r="E52" s="164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7"/>
      <c r="T52" s="168"/>
    </row>
    <row r="53" spans="5:20" s="169" customFormat="1" ht="15" thickTop="1">
      <c r="E53" s="170" t="s">
        <v>43</v>
      </c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67"/>
      <c r="T53" s="168"/>
    </row>
    <row r="54" spans="5:20" s="169" customFormat="1" ht="14.25">
      <c r="E54" s="170" t="s">
        <v>44</v>
      </c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</row>
    <row r="55" spans="5:20" s="169" customFormat="1" ht="28.5" customHeight="1">
      <c r="E55" s="170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</row>
    <row r="56" spans="5:20" s="169" customFormat="1" ht="14.25">
      <c r="E56" s="170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</row>
    <row r="57" spans="5:20" s="169" customFormat="1" ht="14.25">
      <c r="E57" s="234" t="s">
        <v>117</v>
      </c>
      <c r="F57" s="172"/>
      <c r="G57" s="172"/>
      <c r="H57" s="173"/>
      <c r="I57" s="173"/>
      <c r="J57" s="233" t="s">
        <v>119</v>
      </c>
      <c r="K57" s="173"/>
      <c r="L57" s="173"/>
      <c r="M57" s="173"/>
      <c r="N57" s="173"/>
      <c r="O57" s="231" t="s">
        <v>98</v>
      </c>
      <c r="P57" s="173"/>
      <c r="Q57" s="173"/>
      <c r="R57" s="173"/>
      <c r="S57" s="174"/>
      <c r="T57" s="174"/>
    </row>
    <row r="58" spans="5:20" ht="21" customHeight="1">
      <c r="E58" s="229" t="s">
        <v>114</v>
      </c>
      <c r="F58" s="175"/>
      <c r="G58" s="172"/>
      <c r="H58" s="173"/>
      <c r="I58" s="173"/>
      <c r="J58" s="349" t="s">
        <v>134</v>
      </c>
      <c r="K58" s="349"/>
      <c r="L58" s="349"/>
      <c r="M58" s="349"/>
      <c r="N58" s="349"/>
      <c r="O58" s="231" t="s">
        <v>115</v>
      </c>
      <c r="P58" s="230"/>
      <c r="Q58" s="230"/>
      <c r="R58" s="232"/>
      <c r="S58" s="176"/>
      <c r="T58" s="176"/>
    </row>
    <row r="59" spans="5:20" ht="42.75" customHeight="1">
      <c r="E59" s="346" t="s">
        <v>118</v>
      </c>
      <c r="F59" s="346"/>
      <c r="G59" s="346"/>
      <c r="H59" s="173"/>
      <c r="I59" s="173"/>
      <c r="J59" s="347" t="s">
        <v>148</v>
      </c>
      <c r="K59" s="347"/>
      <c r="L59" s="347"/>
      <c r="M59" s="347"/>
      <c r="N59" s="230"/>
      <c r="O59" s="348" t="s">
        <v>116</v>
      </c>
      <c r="P59" s="346"/>
      <c r="Q59" s="346"/>
      <c r="R59" s="346"/>
      <c r="S59" s="176"/>
      <c r="T59" s="176"/>
    </row>
    <row r="60" spans="5:20"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76"/>
    </row>
    <row r="61" spans="5:20"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76"/>
    </row>
    <row r="62" spans="5:20"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76"/>
      <c r="Q62" s="176"/>
      <c r="R62" s="176"/>
    </row>
    <row r="63" spans="5:20"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</row>
    <row r="64" spans="5:20"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</row>
    <row r="65" spans="6:18"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76"/>
    </row>
    <row r="66" spans="6:18"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</row>
    <row r="67" spans="6:18">
      <c r="F67" s="176"/>
      <c r="G67" s="176"/>
      <c r="H67" s="176"/>
      <c r="I67" s="176"/>
      <c r="J67" s="176"/>
      <c r="K67" s="176"/>
      <c r="L67" s="176"/>
      <c r="M67" s="176"/>
      <c r="N67" s="176"/>
      <c r="O67" s="176"/>
      <c r="P67" s="176"/>
      <c r="Q67" s="176"/>
      <c r="R67" s="176"/>
    </row>
    <row r="68" spans="6:18"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176"/>
    </row>
    <row r="69" spans="6:18"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176"/>
    </row>
    <row r="70" spans="6:18"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76"/>
    </row>
    <row r="71" spans="6:18"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76"/>
    </row>
    <row r="72" spans="6:18"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</row>
    <row r="73" spans="6:18"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/>
    </row>
    <row r="74" spans="6:18"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176"/>
    </row>
    <row r="75" spans="6:18">
      <c r="F75" s="176"/>
      <c r="G75" s="176"/>
      <c r="H75" s="176"/>
      <c r="I75" s="176"/>
      <c r="J75" s="176"/>
      <c r="K75" s="176"/>
      <c r="L75" s="176"/>
      <c r="M75" s="176"/>
      <c r="N75" s="176"/>
      <c r="O75" s="176"/>
      <c r="P75" s="176"/>
      <c r="Q75" s="176"/>
      <c r="R75" s="176"/>
    </row>
    <row r="76" spans="6:18"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176"/>
      <c r="Q76" s="176"/>
      <c r="R76" s="176"/>
    </row>
    <row r="77" spans="6:18"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6"/>
      <c r="R77" s="176"/>
    </row>
    <row r="78" spans="6:18"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6"/>
      <c r="R78" s="176"/>
    </row>
    <row r="79" spans="6:18"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176"/>
    </row>
    <row r="80" spans="6:18"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6"/>
      <c r="R80" s="176"/>
    </row>
    <row r="81" spans="6:18"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</row>
    <row r="82" spans="6:18"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76"/>
      <c r="R82" s="176"/>
    </row>
    <row r="83" spans="6:18">
      <c r="F83" s="176"/>
      <c r="G83" s="176"/>
      <c r="H83" s="176"/>
      <c r="I83" s="176"/>
      <c r="J83" s="176"/>
      <c r="K83" s="176"/>
      <c r="L83" s="176"/>
      <c r="M83" s="176"/>
      <c r="N83" s="176"/>
      <c r="O83" s="176"/>
      <c r="P83" s="176"/>
      <c r="Q83" s="176"/>
      <c r="R83" s="176"/>
    </row>
    <row r="84" spans="6:18"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</row>
    <row r="85" spans="6:18"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176"/>
    </row>
    <row r="86" spans="6:18">
      <c r="F86" s="176"/>
      <c r="G86" s="176"/>
      <c r="H86" s="176"/>
      <c r="I86" s="176"/>
      <c r="J86" s="176"/>
      <c r="K86" s="176"/>
      <c r="L86" s="176"/>
      <c r="M86" s="176"/>
      <c r="N86" s="176"/>
      <c r="O86" s="176"/>
      <c r="P86" s="176"/>
      <c r="Q86" s="176"/>
      <c r="R86" s="176"/>
    </row>
    <row r="87" spans="6:18"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176"/>
    </row>
    <row r="88" spans="6:18">
      <c r="F88" s="176"/>
      <c r="G88" s="176"/>
      <c r="H88" s="176"/>
      <c r="I88" s="176"/>
      <c r="J88" s="176"/>
      <c r="K88" s="176"/>
      <c r="L88" s="176"/>
      <c r="M88" s="176"/>
      <c r="N88" s="176"/>
      <c r="O88" s="176"/>
      <c r="P88" s="176"/>
      <c r="Q88" s="176"/>
      <c r="R88" s="176"/>
    </row>
    <row r="89" spans="6:18"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176"/>
    </row>
    <row r="90" spans="6:18"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76"/>
    </row>
    <row r="91" spans="6:18"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176"/>
      <c r="Q91" s="176"/>
      <c r="R91" s="176"/>
    </row>
    <row r="92" spans="6:18"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6"/>
      <c r="Q92" s="176"/>
      <c r="R92" s="176"/>
    </row>
    <row r="93" spans="6:18"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76"/>
    </row>
    <row r="94" spans="6:18"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6"/>
      <c r="R94" s="176"/>
    </row>
    <row r="95" spans="6:18"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176"/>
    </row>
    <row r="96" spans="6:18"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6"/>
      <c r="Q96" s="176"/>
      <c r="R96" s="176"/>
    </row>
    <row r="97" spans="6:18"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176"/>
      <c r="Q97" s="176"/>
      <c r="R97" s="176"/>
    </row>
    <row r="98" spans="6:18"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176"/>
    </row>
    <row r="99" spans="6:18"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176"/>
      <c r="Q99" s="176"/>
      <c r="R99" s="176"/>
    </row>
    <row r="100" spans="6:18"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6"/>
      <c r="Q100" s="176"/>
      <c r="R100" s="176"/>
    </row>
    <row r="101" spans="6:18"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/>
    </row>
    <row r="102" spans="6:18">
      <c r="F102" s="176"/>
      <c r="G102" s="176"/>
      <c r="H102" s="176"/>
      <c r="I102" s="176"/>
      <c r="J102" s="176"/>
      <c r="K102" s="176"/>
      <c r="L102" s="176"/>
      <c r="M102" s="176"/>
      <c r="N102" s="176"/>
      <c r="O102" s="176"/>
      <c r="P102" s="176"/>
      <c r="Q102" s="176"/>
      <c r="R102" s="176"/>
    </row>
    <row r="103" spans="6:18">
      <c r="F103" s="176"/>
      <c r="G103" s="176"/>
      <c r="H103" s="176"/>
      <c r="I103" s="176"/>
      <c r="J103" s="176"/>
      <c r="K103" s="176"/>
      <c r="L103" s="176"/>
      <c r="M103" s="176"/>
      <c r="N103" s="176"/>
      <c r="O103" s="176"/>
      <c r="P103" s="176"/>
      <c r="Q103" s="176"/>
      <c r="R103" s="176"/>
    </row>
  </sheetData>
  <mergeCells count="5">
    <mergeCell ref="P5:R6"/>
    <mergeCell ref="E59:G59"/>
    <mergeCell ref="J59:M59"/>
    <mergeCell ref="O59:R59"/>
    <mergeCell ref="J58:N58"/>
  </mergeCells>
  <printOptions horizontalCentered="1" verticalCentered="1"/>
  <pageMargins left="0.39370078740157483" right="0.27559055118110237" top="0.59055118110236227" bottom="0.39370078740157483" header="0" footer="0"/>
  <pageSetup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SPF-A01</vt:lpstr>
      <vt:lpstr>SPF-A02</vt:lpstr>
      <vt:lpstr>SPF-A03</vt:lpstr>
      <vt:lpstr>SPF-C01</vt:lpstr>
      <vt:lpstr>SPF-C02</vt:lpstr>
      <vt:lpstr>SPF-01</vt:lpstr>
      <vt:lpstr>'SPF-01'!Área_de_impresión</vt:lpstr>
      <vt:lpstr>'SPF-A01'!Área_de_impresión</vt:lpstr>
      <vt:lpstr>'SPF-A02'!Área_de_impresión</vt:lpstr>
      <vt:lpstr>'SPF-A03'!Área_de_impresión</vt:lpstr>
      <vt:lpstr>'SPF-C01'!Área_de_impresión</vt:lpstr>
      <vt:lpstr>'SPF-C02'!Área_de_impresión</vt:lpstr>
      <vt:lpstr>'SPF-A03'!Títulos_a_imprimir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Ortiz</dc:creator>
  <cp:lastModifiedBy>Cecilia Mendoza F.</cp:lastModifiedBy>
  <cp:lastPrinted>2015-07-10T19:00:35Z</cp:lastPrinted>
  <dcterms:created xsi:type="dcterms:W3CDTF">2008-01-08T17:09:26Z</dcterms:created>
  <dcterms:modified xsi:type="dcterms:W3CDTF">2016-07-25T17:38:40Z</dcterms:modified>
</cp:coreProperties>
</file>