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cmendoza\Documents\DOCUMENTOS\SUBGERENCIA DE FINANZAS\2017\FLUJO DE EFECTIVO 2017\"/>
    </mc:Choice>
  </mc:AlternateContent>
  <bookViews>
    <workbookView xWindow="0" yWindow="0" windowWidth="28800" windowHeight="11835"/>
  </bookViews>
  <sheets>
    <sheet name="Septiembre" sheetId="6" r:id="rId1"/>
    <sheet name="Analítico Septiembre" sheetId="5" r:id="rId2"/>
  </sheets>
  <externalReferences>
    <externalReference r:id="rId3"/>
    <externalReference r:id="rId4"/>
    <externalReference r:id="rId5"/>
    <externalReference r:id="rId6"/>
    <externalReference r:id="rId7"/>
  </externalReferences>
  <definedNames>
    <definedName name="_xlnm.Print_Area" localSheetId="1">'Analítico Septiembre'!$A$1:$X$169</definedName>
    <definedName name="_xlnm.Print_Area" localSheetId="0">Septiembre!$A$1:$F$181</definedName>
    <definedName name="_xlnm.Print_Titles" localSheetId="1">'Analítico Septiembre'!$1:$8</definedName>
    <definedName name="_xlnm.Print_Titles" localSheetId="0">Septiembre!$1:$7</definedName>
  </definedNames>
  <calcPr calcId="152511"/>
</workbook>
</file>

<file path=xl/calcChain.xml><?xml version="1.0" encoding="utf-8"?>
<calcChain xmlns="http://schemas.openxmlformats.org/spreadsheetml/2006/main">
  <c r="J43" i="6" l="1"/>
  <c r="K44" i="6"/>
  <c r="L54" i="6"/>
  <c r="L55" i="6"/>
  <c r="L56" i="6"/>
  <c r="L57" i="6"/>
  <c r="L58" i="6"/>
  <c r="L59" i="6"/>
  <c r="M179" i="6"/>
  <c r="G176" i="6"/>
  <c r="I174" i="6"/>
  <c r="H174" i="6"/>
  <c r="G174" i="6"/>
  <c r="I172" i="6"/>
  <c r="H172" i="6"/>
  <c r="G172" i="6"/>
  <c r="I170" i="6"/>
  <c r="H170" i="6"/>
  <c r="G170" i="6"/>
  <c r="I168" i="6"/>
  <c r="H168" i="6"/>
  <c r="G168" i="6"/>
  <c r="H157" i="6"/>
  <c r="J156" i="6"/>
  <c r="I156" i="6"/>
  <c r="H156" i="6"/>
  <c r="G156" i="6"/>
  <c r="J155" i="6"/>
  <c r="H155" i="6"/>
  <c r="J154" i="6"/>
  <c r="I154" i="6"/>
  <c r="H154" i="6"/>
  <c r="G154" i="6"/>
  <c r="J153" i="6"/>
  <c r="H153" i="6"/>
  <c r="J152" i="6"/>
  <c r="I152" i="6"/>
  <c r="H152" i="6"/>
  <c r="G152" i="6"/>
  <c r="J151" i="6"/>
  <c r="I151" i="6"/>
  <c r="H151" i="6"/>
  <c r="G151" i="6"/>
  <c r="J150" i="6"/>
  <c r="I150" i="6"/>
  <c r="H150" i="6"/>
  <c r="G150" i="6"/>
  <c r="J149" i="6"/>
  <c r="I149" i="6"/>
  <c r="H149" i="6"/>
  <c r="G149" i="6"/>
  <c r="J148" i="6"/>
  <c r="H148" i="6"/>
  <c r="J147" i="6"/>
  <c r="I147" i="6"/>
  <c r="H147" i="6"/>
  <c r="G147" i="6"/>
  <c r="J146" i="6"/>
  <c r="J145" i="6"/>
  <c r="I145" i="6"/>
  <c r="H145" i="6"/>
  <c r="G145" i="6"/>
  <c r="G144" i="6"/>
  <c r="H143" i="6"/>
  <c r="H105" i="6"/>
  <c r="G105" i="6"/>
  <c r="I102" i="6"/>
  <c r="H102" i="6"/>
  <c r="G102" i="6"/>
  <c r="I100" i="6"/>
  <c r="H100" i="6"/>
  <c r="G100" i="6"/>
  <c r="I98" i="6"/>
  <c r="H98" i="6"/>
  <c r="G98" i="6"/>
  <c r="J96" i="6"/>
  <c r="I96" i="6"/>
  <c r="H96" i="6"/>
  <c r="I61" i="6"/>
  <c r="H61" i="6"/>
  <c r="G61" i="6"/>
  <c r="I59" i="6"/>
  <c r="H59" i="6"/>
  <c r="G59" i="6"/>
  <c r="I56" i="6"/>
  <c r="H56" i="6"/>
  <c r="G56" i="6"/>
  <c r="I55" i="6"/>
  <c r="H55" i="6"/>
  <c r="G55" i="6"/>
  <c r="I54" i="6"/>
  <c r="H54" i="6"/>
  <c r="G54" i="6"/>
  <c r="I52" i="6"/>
  <c r="H52" i="6"/>
  <c r="G52" i="6"/>
  <c r="I50" i="6"/>
  <c r="H50" i="6"/>
  <c r="G50" i="6"/>
  <c r="I43" i="6"/>
  <c r="H43" i="6"/>
  <c r="G43" i="6"/>
  <c r="I30" i="6"/>
  <c r="H30" i="6"/>
  <c r="G30" i="6"/>
  <c r="H29" i="6"/>
  <c r="I28" i="6"/>
  <c r="H28" i="6"/>
  <c r="G28" i="6"/>
  <c r="I20" i="6"/>
  <c r="H20" i="6"/>
  <c r="G20" i="6"/>
  <c r="I19" i="6"/>
  <c r="H19" i="6"/>
  <c r="G19" i="6"/>
  <c r="I18" i="6"/>
  <c r="H18" i="6"/>
  <c r="G18" i="6"/>
  <c r="H15" i="6"/>
  <c r="G15" i="6"/>
  <c r="G11" i="6"/>
  <c r="C174" i="6" l="1"/>
  <c r="F166" i="6"/>
  <c r="E166" i="6"/>
  <c r="D166" i="6"/>
  <c r="C166" i="6"/>
  <c r="F165" i="6"/>
  <c r="E165" i="6"/>
  <c r="D165" i="6"/>
  <c r="C165" i="6"/>
  <c r="F163" i="6"/>
  <c r="E163" i="6"/>
  <c r="D163" i="6"/>
  <c r="C163" i="6"/>
  <c r="F161" i="6"/>
  <c r="E161" i="6"/>
  <c r="D161" i="6"/>
  <c r="C161" i="6"/>
  <c r="F159" i="6"/>
  <c r="E159" i="6"/>
  <c r="D159" i="6"/>
  <c r="C159" i="6"/>
  <c r="F157" i="6"/>
  <c r="E157" i="6"/>
  <c r="D157" i="6"/>
  <c r="C157" i="6"/>
  <c r="C156" i="6"/>
  <c r="C154" i="6"/>
  <c r="F152" i="6"/>
  <c r="F140" i="6"/>
  <c r="E140" i="6"/>
  <c r="D140" i="6"/>
  <c r="C140" i="6"/>
  <c r="F136" i="6"/>
  <c r="E136" i="6"/>
  <c r="D136" i="6"/>
  <c r="C136" i="6"/>
  <c r="F131" i="6"/>
  <c r="F121" i="6" s="1"/>
  <c r="E131" i="6"/>
  <c r="D131" i="6"/>
  <c r="C131" i="6"/>
  <c r="C125" i="6"/>
  <c r="F123" i="6"/>
  <c r="E123" i="6"/>
  <c r="D123" i="6"/>
  <c r="C123" i="6"/>
  <c r="E121" i="6"/>
  <c r="D121" i="6"/>
  <c r="C121" i="6"/>
  <c r="F116" i="6"/>
  <c r="E116" i="6"/>
  <c r="D116" i="6"/>
  <c r="C116" i="6"/>
  <c r="F112" i="6"/>
  <c r="E112" i="6"/>
  <c r="D112" i="6"/>
  <c r="C112" i="6"/>
  <c r="F107" i="6"/>
  <c r="E107" i="6"/>
  <c r="D107" i="6"/>
  <c r="C107" i="6"/>
  <c r="F105" i="6"/>
  <c r="E105" i="6"/>
  <c r="E152" i="6" s="1"/>
  <c r="D105" i="6"/>
  <c r="D152" i="6" s="1"/>
  <c r="C105" i="6"/>
  <c r="C152" i="6" s="1"/>
  <c r="F102" i="6"/>
  <c r="E102" i="6"/>
  <c r="D102" i="6"/>
  <c r="C102" i="6"/>
  <c r="F100" i="6"/>
  <c r="E100" i="6"/>
  <c r="D100" i="6"/>
  <c r="C100" i="6"/>
  <c r="F98" i="6"/>
  <c r="E98" i="6"/>
  <c r="D98" i="6"/>
  <c r="C98" i="6"/>
  <c r="F94" i="6" a="1"/>
  <c r="F94" i="6" s="1"/>
  <c r="E94" i="6"/>
  <c r="E94" i="6" a="1"/>
  <c r="D94" i="6" a="1"/>
  <c r="D94" i="6" s="1"/>
  <c r="C94" i="6" a="1"/>
  <c r="C94" i="6" s="1"/>
  <c r="F93" i="6" a="1"/>
  <c r="F93" i="6" s="1"/>
  <c r="F91" i="6" s="1"/>
  <c r="E93" i="6" a="1"/>
  <c r="E93" i="6" s="1"/>
  <c r="E91" i="6" s="1"/>
  <c r="D93" i="6" a="1"/>
  <c r="D93" i="6" s="1"/>
  <c r="D91" i="6" s="1"/>
  <c r="C93" i="6" a="1"/>
  <c r="C93" i="6" s="1"/>
  <c r="C91" i="6" s="1"/>
  <c r="F89" i="6" a="1"/>
  <c r="F89" i="6" s="1"/>
  <c r="F87" i="6" s="1"/>
  <c r="E89" i="6" a="1"/>
  <c r="E89" i="6" s="1"/>
  <c r="E87" i="6" s="1"/>
  <c r="D89" i="6" a="1"/>
  <c r="D89" i="6" s="1"/>
  <c r="D87" i="6" s="1"/>
  <c r="C89" i="6" a="1"/>
  <c r="C89" i="6" s="1"/>
  <c r="C87" i="6" s="1"/>
  <c r="F85" i="6" a="1"/>
  <c r="F85" i="6" s="1"/>
  <c r="E85" i="6" a="1"/>
  <c r="E85" i="6" s="1"/>
  <c r="D85" i="6" a="1"/>
  <c r="D85" i="6" s="1"/>
  <c r="C85" i="6" a="1"/>
  <c r="C85" i="6" s="1"/>
  <c r="F84" i="6" a="1"/>
  <c r="F84" i="6" s="1"/>
  <c r="F82" i="6" s="1"/>
  <c r="E84" i="6" a="1"/>
  <c r="E84" i="6" s="1"/>
  <c r="E82" i="6" s="1"/>
  <c r="D84" i="6" a="1"/>
  <c r="D84" i="6" s="1"/>
  <c r="D82" i="6" s="1"/>
  <c r="C84" i="6" a="1"/>
  <c r="C84" i="6" s="1"/>
  <c r="C82" i="6" s="1"/>
  <c r="F80" i="6" a="1"/>
  <c r="F80" i="6" s="1"/>
  <c r="E80" i="6" a="1"/>
  <c r="E80" i="6" s="1"/>
  <c r="D80" i="6" a="1"/>
  <c r="D80" i="6" s="1"/>
  <c r="C80" i="6" a="1"/>
  <c r="C80" i="6" s="1"/>
  <c r="F79" i="6" a="1"/>
  <c r="F79" i="6" s="1"/>
  <c r="E79" i="6" a="1"/>
  <c r="E79" i="6" s="1"/>
  <c r="D79" i="6" a="1"/>
  <c r="D79" i="6" s="1"/>
  <c r="C79" i="6" a="1"/>
  <c r="C79" i="6" s="1"/>
  <c r="F78" i="6" a="1"/>
  <c r="F78" i="6" s="1"/>
  <c r="E78" i="6" a="1"/>
  <c r="E78" i="6" s="1"/>
  <c r="D78" i="6" a="1"/>
  <c r="D78" i="6" s="1"/>
  <c r="C78" i="6" a="1"/>
  <c r="C78" i="6" s="1"/>
  <c r="F77" i="6" a="1"/>
  <c r="F77" i="6" s="1"/>
  <c r="F75" i="6" s="1"/>
  <c r="F73" i="6" s="1"/>
  <c r="E77" i="6" a="1"/>
  <c r="E77" i="6" s="1"/>
  <c r="E75" i="6" s="1"/>
  <c r="E73" i="6" s="1"/>
  <c r="D77" i="6" a="1"/>
  <c r="D77" i="6" s="1"/>
  <c r="D75" i="6" s="1"/>
  <c r="D73" i="6" s="1"/>
  <c r="C77" i="6" a="1"/>
  <c r="C77" i="6" s="1"/>
  <c r="C75" i="6" s="1"/>
  <c r="C73" i="6" s="1"/>
  <c r="F68" i="6"/>
  <c r="E68" i="6"/>
  <c r="D68" i="6"/>
  <c r="C68" i="6"/>
  <c r="F64" i="6"/>
  <c r="E64" i="6"/>
  <c r="D64" i="6"/>
  <c r="C64" i="6"/>
  <c r="C50" i="6" s="1"/>
  <c r="F61" i="6"/>
  <c r="F156" i="6" s="1"/>
  <c r="F154" i="6" s="1"/>
  <c r="E61" i="6"/>
  <c r="E156" i="6" s="1"/>
  <c r="E154" i="6" s="1"/>
  <c r="D61" i="6"/>
  <c r="D156" i="6" s="1"/>
  <c r="D154" i="6" s="1"/>
  <c r="F59" i="6"/>
  <c r="D59" i="6"/>
  <c r="C59" i="6"/>
  <c r="F56" i="6"/>
  <c r="F151" i="6" s="1"/>
  <c r="E56" i="6"/>
  <c r="E151" i="6" s="1"/>
  <c r="D56" i="6"/>
  <c r="D151" i="6" s="1"/>
  <c r="C56" i="6"/>
  <c r="C151" i="6" s="1"/>
  <c r="F55" i="6"/>
  <c r="F150" i="6" s="1"/>
  <c r="E55" i="6"/>
  <c r="E150" i="6" s="1"/>
  <c r="D55" i="6"/>
  <c r="D150" i="6" s="1"/>
  <c r="C55" i="6"/>
  <c r="C150" i="6" s="1"/>
  <c r="F54" i="6"/>
  <c r="F149" i="6" s="1"/>
  <c r="F147" i="6" s="1"/>
  <c r="F145" i="6" s="1"/>
  <c r="F170" i="6" s="1"/>
  <c r="E54" i="6"/>
  <c r="E149" i="6" s="1"/>
  <c r="E147" i="6" s="1"/>
  <c r="D54" i="6"/>
  <c r="D149" i="6" s="1"/>
  <c r="C54" i="6"/>
  <c r="C149" i="6" s="1"/>
  <c r="F52" i="6"/>
  <c r="F50" i="6" s="1"/>
  <c r="E52" i="6"/>
  <c r="C52" i="6"/>
  <c r="F38" i="6"/>
  <c r="E38" i="6"/>
  <c r="D38" i="6"/>
  <c r="C38" i="6"/>
  <c r="F33" i="6"/>
  <c r="E33" i="6"/>
  <c r="D33" i="6"/>
  <c r="C33" i="6"/>
  <c r="F31" i="6"/>
  <c r="E31" i="6"/>
  <c r="D31" i="6"/>
  <c r="C31" i="6"/>
  <c r="F30" i="6"/>
  <c r="F28" i="6" s="1"/>
  <c r="E30" i="6"/>
  <c r="D30" i="6"/>
  <c r="C30" i="6"/>
  <c r="E28" i="6"/>
  <c r="D28" i="6"/>
  <c r="C28" i="6"/>
  <c r="F23" i="6"/>
  <c r="D23" i="6"/>
  <c r="C23" i="6"/>
  <c r="D19" i="6"/>
  <c r="D15" i="6" s="1"/>
  <c r="D43" i="6" s="1"/>
  <c r="D168" i="6" s="1"/>
  <c r="F15" i="6"/>
  <c r="E15" i="6"/>
  <c r="E43" i="6" s="1"/>
  <c r="E168" i="6" s="1"/>
  <c r="C15" i="6"/>
  <c r="C43" i="6" s="1"/>
  <c r="C168" i="6" s="1"/>
  <c r="D11" i="6"/>
  <c r="F43" i="6" l="1"/>
  <c r="F168" i="6" s="1"/>
  <c r="F172" i="6" s="1"/>
  <c r="F174" i="6" s="1"/>
  <c r="D147" i="6"/>
  <c r="D145" i="6" s="1"/>
  <c r="D170" i="6" s="1"/>
  <c r="D172" i="6" s="1"/>
  <c r="D174" i="6" s="1"/>
  <c r="C147" i="6"/>
  <c r="C145" i="6" s="1"/>
  <c r="C170" i="6" s="1"/>
  <c r="C172" i="6" s="1"/>
  <c r="E145" i="6"/>
  <c r="E170" i="6" s="1"/>
  <c r="E172" i="6" s="1"/>
  <c r="D52" i="6"/>
  <c r="D50" i="6" s="1"/>
  <c r="E59" i="6"/>
  <c r="E50" i="6" s="1"/>
  <c r="Y162" i="5"/>
  <c r="Y161" i="5"/>
  <c r="X171" i="5"/>
  <c r="V171" i="5" l="1"/>
  <c r="U171" i="5"/>
  <c r="T171" i="5"/>
  <c r="S171" i="5"/>
  <c r="R171" i="5"/>
  <c r="AB154" i="5" l="1"/>
  <c r="AC154" i="5" s="1"/>
  <c r="Y154" i="5"/>
  <c r="AE83" i="5" l="1"/>
  <c r="AF83" i="5" s="1"/>
  <c r="Y77" i="5" l="1"/>
  <c r="S158" i="5" l="1"/>
  <c r="T158" i="5"/>
  <c r="U158" i="5"/>
  <c r="V158" i="5"/>
  <c r="W158" i="5"/>
  <c r="X158" i="5"/>
  <c r="Z158" i="5"/>
  <c r="AA158" i="5"/>
  <c r="R158" i="5"/>
  <c r="Y40" i="5" l="1"/>
  <c r="Y41" i="5"/>
  <c r="Y42" i="5"/>
  <c r="Y43" i="5"/>
  <c r="Y44" i="5"/>
  <c r="Y45" i="5"/>
  <c r="Y46" i="5"/>
  <c r="Y47" i="5"/>
  <c r="Y48" i="5"/>
  <c r="Y49" i="5"/>
  <c r="Y50" i="5"/>
  <c r="Y51" i="5"/>
  <c r="Y52" i="5"/>
  <c r="Y53" i="5"/>
  <c r="Y54" i="5"/>
  <c r="Y55" i="5"/>
  <c r="Y56" i="5"/>
  <c r="AB156" i="5" l="1"/>
  <c r="AC156" i="5" s="1"/>
  <c r="AB157" i="5"/>
  <c r="AC157" i="5"/>
  <c r="AB155" i="5"/>
  <c r="Y156" i="5"/>
  <c r="Y157" i="5"/>
  <c r="Y155" i="5"/>
  <c r="Y148" i="5"/>
  <c r="Y158" i="5" l="1"/>
  <c r="AC155" i="5"/>
  <c r="AC158" i="5" s="1"/>
  <c r="AB158" i="5"/>
  <c r="X57" i="5" l="1"/>
  <c r="Y150" i="5" l="1"/>
  <c r="Y149" i="5"/>
  <c r="Y147" i="5"/>
  <c r="Y146" i="5"/>
  <c r="Y145" i="5"/>
  <c r="Y144" i="5"/>
  <c r="Y143" i="5"/>
  <c r="Y142" i="5"/>
  <c r="Y141" i="5"/>
  <c r="Y140" i="5"/>
  <c r="Y139" i="5"/>
  <c r="Y138" i="5"/>
  <c r="Y137" i="5"/>
  <c r="Y136" i="5"/>
  <c r="Y135" i="5"/>
  <c r="Y134" i="5"/>
  <c r="Y133" i="5"/>
  <c r="Y132" i="5"/>
  <c r="Y131" i="5"/>
  <c r="Y130" i="5"/>
  <c r="Y129" i="5"/>
  <c r="Y128" i="5"/>
  <c r="Y127" i="5"/>
  <c r="Y126" i="5"/>
  <c r="Y125" i="5"/>
  <c r="Y124" i="5"/>
  <c r="Y122" i="5"/>
  <c r="Y121" i="5"/>
  <c r="Y120" i="5"/>
  <c r="Y119" i="5"/>
  <c r="Y118" i="5"/>
  <c r="Y117" i="5"/>
  <c r="Y116" i="5"/>
  <c r="Y115" i="5"/>
  <c r="Y114" i="5"/>
  <c r="Y113" i="5"/>
  <c r="Y112" i="5"/>
  <c r="Y111" i="5"/>
  <c r="Y110" i="5"/>
  <c r="Y109" i="5"/>
  <c r="Y108" i="5"/>
  <c r="Y107" i="5"/>
  <c r="Y106" i="5"/>
  <c r="Y105" i="5"/>
  <c r="Y104" i="5"/>
  <c r="Y102" i="5"/>
  <c r="Y101" i="5"/>
  <c r="Y100" i="5"/>
  <c r="Y99" i="5"/>
  <c r="Y98" i="5"/>
  <c r="Y97" i="5"/>
  <c r="Y96" i="5"/>
  <c r="Y95" i="5"/>
  <c r="Y94" i="5"/>
  <c r="Y93" i="5"/>
  <c r="Y92" i="5"/>
  <c r="Y91" i="5"/>
  <c r="Y90" i="5"/>
  <c r="Y89" i="5"/>
  <c r="Y88" i="5"/>
  <c r="Y87" i="5"/>
  <c r="Y86" i="5"/>
  <c r="Y85" i="5"/>
  <c r="Y84" i="5"/>
  <c r="Y83" i="5"/>
  <c r="Y82" i="5"/>
  <c r="Y81" i="5"/>
  <c r="Y78" i="5"/>
  <c r="Y76" i="5"/>
  <c r="Y75" i="5"/>
  <c r="Y74" i="5"/>
  <c r="Y73" i="5"/>
  <c r="Y72" i="5"/>
  <c r="Y71" i="5"/>
  <c r="Y70" i="5"/>
  <c r="Y69" i="5"/>
  <c r="Y68" i="5"/>
  <c r="Y67" i="5"/>
  <c r="Y66" i="5"/>
  <c r="Y65" i="5"/>
  <c r="Y64" i="5"/>
  <c r="Y63" i="5"/>
  <c r="Y62" i="5"/>
  <c r="Y61" i="5"/>
  <c r="Y60" i="5"/>
  <c r="Y59" i="5"/>
  <c r="Y58" i="5"/>
  <c r="Y39" i="5"/>
  <c r="Y37" i="5"/>
  <c r="Y36" i="5"/>
  <c r="Y35" i="5"/>
  <c r="Y34" i="5"/>
  <c r="Y33" i="5"/>
  <c r="Y32" i="5"/>
  <c r="Y31" i="5"/>
  <c r="Y30" i="5"/>
  <c r="Y29" i="5"/>
  <c r="Y28" i="5"/>
  <c r="Y27" i="5"/>
  <c r="Y26" i="5"/>
  <c r="Y25" i="5"/>
  <c r="Y24" i="5"/>
  <c r="Y23" i="5"/>
  <c r="Y22" i="5"/>
  <c r="Y21" i="5"/>
  <c r="Y18" i="5"/>
  <c r="Y17" i="5"/>
  <c r="Y15" i="5"/>
  <c r="Y14" i="5"/>
  <c r="Y11" i="5"/>
  <c r="Y9" i="5"/>
  <c r="X151" i="5" l="1"/>
  <c r="X123" i="5"/>
  <c r="X103" i="5"/>
  <c r="X79" i="5"/>
  <c r="X38" i="5"/>
  <c r="X80" i="5" l="1"/>
  <c r="Y19" i="5"/>
  <c r="Z19" i="5"/>
  <c r="AB17" i="5"/>
  <c r="AC17" i="5" s="1"/>
  <c r="Z16" i="5"/>
  <c r="R103" i="5"/>
  <c r="R38" i="5" l="1"/>
  <c r="X19" i="5"/>
  <c r="S19" i="5"/>
  <c r="T19" i="5"/>
  <c r="U19" i="5"/>
  <c r="V19" i="5"/>
  <c r="W19" i="5"/>
  <c r="R19" i="5"/>
  <c r="AB131" i="5" l="1"/>
  <c r="AC131" i="5" s="1"/>
  <c r="R151" i="5"/>
  <c r="S151" i="5"/>
  <c r="T151" i="5"/>
  <c r="U151" i="5"/>
  <c r="V151" i="5"/>
  <c r="AA153" i="5" l="1"/>
  <c r="AA151" i="5"/>
  <c r="AA123" i="5"/>
  <c r="AA159" i="5" s="1"/>
  <c r="Z79" i="5"/>
  <c r="AA79" i="5"/>
  <c r="AB152" i="5"/>
  <c r="AB153" i="5" s="1"/>
  <c r="AB150" i="5"/>
  <c r="AC150" i="5" s="1"/>
  <c r="AB149" i="5"/>
  <c r="AC149" i="5" s="1"/>
  <c r="AB148" i="5"/>
  <c r="AC148" i="5" s="1"/>
  <c r="AB147" i="5"/>
  <c r="AC147" i="5" s="1"/>
  <c r="AB146" i="5"/>
  <c r="AC146" i="5" s="1"/>
  <c r="AB145" i="5"/>
  <c r="AC145" i="5" s="1"/>
  <c r="AB144" i="5"/>
  <c r="AC144" i="5" s="1"/>
  <c r="AB143" i="5"/>
  <c r="AC143" i="5" s="1"/>
  <c r="AB142" i="5"/>
  <c r="AC142" i="5" s="1"/>
  <c r="AB141" i="5"/>
  <c r="AC141" i="5" s="1"/>
  <c r="AB140" i="5"/>
  <c r="AC140" i="5" s="1"/>
  <c r="AB139" i="5"/>
  <c r="AC139" i="5" s="1"/>
  <c r="AB138" i="5"/>
  <c r="AC138" i="5" s="1"/>
  <c r="AB137" i="5"/>
  <c r="AC137" i="5" s="1"/>
  <c r="AB136" i="5"/>
  <c r="AC136" i="5" s="1"/>
  <c r="AB135" i="5"/>
  <c r="AC135" i="5" s="1"/>
  <c r="AB134" i="5"/>
  <c r="AC134" i="5" s="1"/>
  <c r="AB133" i="5"/>
  <c r="AC133" i="5" s="1"/>
  <c r="AB132" i="5"/>
  <c r="AC132" i="5" s="1"/>
  <c r="AB130" i="5"/>
  <c r="AC130" i="5" s="1"/>
  <c r="AB129" i="5"/>
  <c r="AC129" i="5" s="1"/>
  <c r="AB128" i="5"/>
  <c r="AC128" i="5" s="1"/>
  <c r="AB127" i="5"/>
  <c r="AC127" i="5" s="1"/>
  <c r="AB126" i="5"/>
  <c r="AC126" i="5" s="1"/>
  <c r="AB125" i="5"/>
  <c r="AC125" i="5" s="1"/>
  <c r="AB124" i="5"/>
  <c r="AC124" i="5" s="1"/>
  <c r="AB122" i="5"/>
  <c r="AC122" i="5" s="1"/>
  <c r="AB121" i="5"/>
  <c r="AC121" i="5" s="1"/>
  <c r="AB120" i="5"/>
  <c r="AC120" i="5" s="1"/>
  <c r="AB119" i="5"/>
  <c r="AC119" i="5" s="1"/>
  <c r="AB118" i="5"/>
  <c r="AC118" i="5" s="1"/>
  <c r="AB117" i="5"/>
  <c r="AC117" i="5" s="1"/>
  <c r="AB116" i="5"/>
  <c r="AC116" i="5" s="1"/>
  <c r="AB115" i="5"/>
  <c r="AC115" i="5" s="1"/>
  <c r="AB114" i="5"/>
  <c r="AC114" i="5" s="1"/>
  <c r="AB113" i="5"/>
  <c r="AC113" i="5" s="1"/>
  <c r="AB112" i="5"/>
  <c r="AC112" i="5" s="1"/>
  <c r="AB111" i="5"/>
  <c r="AC111" i="5" s="1"/>
  <c r="AB110" i="5"/>
  <c r="AC110" i="5" s="1"/>
  <c r="AB109" i="5"/>
  <c r="AC109" i="5" s="1"/>
  <c r="AB108" i="5"/>
  <c r="AC108" i="5" s="1"/>
  <c r="AB107" i="5"/>
  <c r="AC107" i="5" s="1"/>
  <c r="AB106" i="5"/>
  <c r="AC106" i="5" s="1"/>
  <c r="AB105" i="5"/>
  <c r="AC105" i="5" s="1"/>
  <c r="AB104" i="5"/>
  <c r="AC104" i="5" s="1"/>
  <c r="AB102" i="5"/>
  <c r="AC102" i="5" s="1"/>
  <c r="AB101" i="5"/>
  <c r="AC101" i="5" s="1"/>
  <c r="AB100" i="5"/>
  <c r="AC100" i="5" s="1"/>
  <c r="AB99" i="5"/>
  <c r="AC99" i="5" s="1"/>
  <c r="AB98" i="5"/>
  <c r="AC98" i="5" s="1"/>
  <c r="AB97" i="5"/>
  <c r="AC97" i="5" s="1"/>
  <c r="AB96" i="5"/>
  <c r="AC96" i="5" s="1"/>
  <c r="AB95" i="5"/>
  <c r="AC95" i="5" s="1"/>
  <c r="AB94" i="5"/>
  <c r="AC94" i="5" s="1"/>
  <c r="AB93" i="5"/>
  <c r="AC93" i="5" s="1"/>
  <c r="AB92" i="5"/>
  <c r="AC92" i="5" s="1"/>
  <c r="AB91" i="5"/>
  <c r="AC91" i="5" s="1"/>
  <c r="AB90" i="5"/>
  <c r="AC90" i="5" s="1"/>
  <c r="AB89" i="5"/>
  <c r="AC89" i="5" s="1"/>
  <c r="AB88" i="5"/>
  <c r="AC88" i="5" s="1"/>
  <c r="AB87" i="5"/>
  <c r="AC87" i="5" s="1"/>
  <c r="AB86" i="5"/>
  <c r="AC86" i="5" s="1"/>
  <c r="AB85" i="5"/>
  <c r="AC85" i="5" s="1"/>
  <c r="AB84" i="5"/>
  <c r="AC84" i="5" s="1"/>
  <c r="AB83" i="5"/>
  <c r="AC83" i="5" s="1"/>
  <c r="AB82" i="5"/>
  <c r="AC82" i="5" s="1"/>
  <c r="AB81" i="5"/>
  <c r="AC81" i="5" s="1"/>
  <c r="AB78" i="5"/>
  <c r="AC78" i="5" s="1"/>
  <c r="AB77" i="5"/>
  <c r="AC77" i="5" s="1"/>
  <c r="AB76" i="5"/>
  <c r="AC76" i="5" s="1"/>
  <c r="AB75" i="5"/>
  <c r="AC75" i="5" s="1"/>
  <c r="AB74" i="5"/>
  <c r="AC74" i="5" s="1"/>
  <c r="AB73" i="5"/>
  <c r="AC73" i="5" s="1"/>
  <c r="AB72" i="5"/>
  <c r="AC72" i="5" s="1"/>
  <c r="AB71" i="5"/>
  <c r="AC71" i="5" s="1"/>
  <c r="AB70" i="5"/>
  <c r="AC70" i="5" s="1"/>
  <c r="AB69" i="5"/>
  <c r="AC69" i="5" s="1"/>
  <c r="AB68" i="5"/>
  <c r="AC68" i="5" s="1"/>
  <c r="AB67" i="5"/>
  <c r="AC67" i="5" s="1"/>
  <c r="AB66" i="5"/>
  <c r="AC66" i="5" s="1"/>
  <c r="AB65" i="5"/>
  <c r="AC65" i="5" s="1"/>
  <c r="AB64" i="5"/>
  <c r="AC64" i="5" s="1"/>
  <c r="AB63" i="5"/>
  <c r="AC63" i="5" s="1"/>
  <c r="AB62" i="5"/>
  <c r="AC62" i="5" s="1"/>
  <c r="AB61" i="5"/>
  <c r="AC61" i="5" s="1"/>
  <c r="AB60" i="5"/>
  <c r="AC60" i="5" s="1"/>
  <c r="AB59" i="5"/>
  <c r="AC59" i="5" s="1"/>
  <c r="AB58" i="5"/>
  <c r="AC58" i="5" s="1"/>
  <c r="Z57" i="5"/>
  <c r="AA57" i="5"/>
  <c r="AB56" i="5"/>
  <c r="AC56" i="5" s="1"/>
  <c r="AB55" i="5"/>
  <c r="AC55" i="5" s="1"/>
  <c r="AB54" i="5"/>
  <c r="AC54" i="5" s="1"/>
  <c r="AB53" i="5"/>
  <c r="AC53" i="5" s="1"/>
  <c r="AB52" i="5"/>
  <c r="AC52" i="5" s="1"/>
  <c r="AB51" i="5"/>
  <c r="AC51" i="5" s="1"/>
  <c r="AB50" i="5"/>
  <c r="AC50" i="5" s="1"/>
  <c r="AB49" i="5"/>
  <c r="AC49" i="5" s="1"/>
  <c r="AB48" i="5"/>
  <c r="AC48" i="5" s="1"/>
  <c r="AB47" i="5"/>
  <c r="AC47" i="5" s="1"/>
  <c r="AB46" i="5"/>
  <c r="AC46" i="5" s="1"/>
  <c r="AB45" i="5"/>
  <c r="AC45" i="5" s="1"/>
  <c r="AB44" i="5"/>
  <c r="AC44" i="5" s="1"/>
  <c r="AB43" i="5"/>
  <c r="AC43" i="5" s="1"/>
  <c r="AB42" i="5"/>
  <c r="AC42" i="5" s="1"/>
  <c r="AB41" i="5"/>
  <c r="AB40" i="5"/>
  <c r="AC40" i="5" s="1"/>
  <c r="AB39" i="5"/>
  <c r="AC39" i="5" s="1"/>
  <c r="AB22" i="5"/>
  <c r="AC22" i="5" s="1"/>
  <c r="AB23" i="5"/>
  <c r="AC23" i="5" s="1"/>
  <c r="AB24" i="5"/>
  <c r="AC24" i="5" s="1"/>
  <c r="AB25" i="5"/>
  <c r="AC25" i="5" s="1"/>
  <c r="AB26" i="5"/>
  <c r="AC26" i="5" s="1"/>
  <c r="AB27" i="5"/>
  <c r="AC27" i="5" s="1"/>
  <c r="AB28" i="5"/>
  <c r="AC28" i="5" s="1"/>
  <c r="AB29" i="5"/>
  <c r="AC29" i="5" s="1"/>
  <c r="AB30" i="5"/>
  <c r="AC30" i="5" s="1"/>
  <c r="AB31" i="5"/>
  <c r="AC31" i="5" s="1"/>
  <c r="AB32" i="5"/>
  <c r="AC32" i="5" s="1"/>
  <c r="AB33" i="5"/>
  <c r="AC33" i="5" s="1"/>
  <c r="AB34" i="5"/>
  <c r="AC34" i="5" s="1"/>
  <c r="AB35" i="5"/>
  <c r="AC35" i="5" s="1"/>
  <c r="AB36" i="5"/>
  <c r="AC36" i="5" s="1"/>
  <c r="AB37" i="5"/>
  <c r="AC37" i="5" s="1"/>
  <c r="AB21" i="5"/>
  <c r="AC21" i="5" s="1"/>
  <c r="Z38" i="5"/>
  <c r="AA38" i="5"/>
  <c r="Z123" i="5"/>
  <c r="W123" i="5"/>
  <c r="Z80" i="5" l="1"/>
  <c r="AB38" i="5"/>
  <c r="AA80" i="5"/>
  <c r="AB57" i="5"/>
  <c r="AC41" i="5"/>
  <c r="AC57" i="5" s="1"/>
  <c r="AC152" i="5"/>
  <c r="AC153" i="5" s="1"/>
  <c r="AB123" i="5"/>
  <c r="AC79" i="5"/>
  <c r="AB79" i="5"/>
  <c r="AB151" i="5"/>
  <c r="AC38" i="5"/>
  <c r="AA160" i="5" l="1"/>
  <c r="AB80" i="5"/>
  <c r="AC80" i="5"/>
  <c r="AC123" i="5" l="1"/>
  <c r="AC103" i="5" l="1"/>
  <c r="X153" i="5" l="1"/>
  <c r="X159" i="5" s="1"/>
  <c r="R153" i="5" l="1"/>
  <c r="S153" i="5"/>
  <c r="T153" i="5"/>
  <c r="U153" i="5"/>
  <c r="V153" i="5"/>
  <c r="V123" i="5" l="1"/>
  <c r="U123" i="5"/>
  <c r="T123" i="5"/>
  <c r="S123" i="5"/>
  <c r="R123" i="5"/>
  <c r="R159" i="5" s="1"/>
  <c r="S38" i="5" l="1"/>
  <c r="T38" i="5"/>
  <c r="U38" i="5"/>
  <c r="V38" i="5"/>
  <c r="Z153" i="5"/>
  <c r="W151" i="5" l="1"/>
  <c r="AC151" i="5" l="1"/>
  <c r="AC159" i="5" s="1"/>
  <c r="R79" i="5" l="1"/>
  <c r="W153" i="5" l="1"/>
  <c r="W103" i="5"/>
  <c r="W159" i="5" s="1"/>
  <c r="W79" i="5"/>
  <c r="W38" i="5"/>
  <c r="W57" i="5"/>
  <c r="W16" i="5"/>
  <c r="W12" i="5"/>
  <c r="W10" i="5"/>
  <c r="W80" i="5" l="1"/>
  <c r="W20" i="5"/>
  <c r="Y152" i="5" l="1"/>
  <c r="Y153" i="5" s="1"/>
  <c r="U103" i="5" l="1"/>
  <c r="U159" i="5" s="1"/>
  <c r="U79" i="5"/>
  <c r="Y10" i="5" l="1"/>
  <c r="Z12" i="5"/>
  <c r="Z10" i="5"/>
  <c r="Y38" i="5"/>
  <c r="S12" i="5"/>
  <c r="T12" i="5"/>
  <c r="U12" i="5"/>
  <c r="V12" i="5"/>
  <c r="X12" i="5"/>
  <c r="R12" i="5"/>
  <c r="R10" i="5"/>
  <c r="S10" i="5"/>
  <c r="T10" i="5"/>
  <c r="U10" i="5"/>
  <c r="V10" i="5"/>
  <c r="X10" i="5"/>
  <c r="X13" i="5" l="1"/>
  <c r="W13" i="5"/>
  <c r="W160" i="5" s="1"/>
  <c r="S13" i="5"/>
  <c r="V13" i="5"/>
  <c r="U13" i="5"/>
  <c r="Z13" i="5"/>
  <c r="T13" i="5"/>
  <c r="R13" i="5"/>
  <c r="U57" i="5"/>
  <c r="U80" i="5" s="1"/>
  <c r="U16" i="5"/>
  <c r="U20" i="5" s="1"/>
  <c r="U160" i="5" l="1"/>
  <c r="Z151" i="5"/>
  <c r="Z103" i="5"/>
  <c r="Z20" i="5"/>
  <c r="Z159" i="5" l="1"/>
  <c r="U172" i="5"/>
  <c r="AB11" i="5"/>
  <c r="AC11" i="5" s="1"/>
  <c r="AB14" i="5"/>
  <c r="AC14" i="5" s="1"/>
  <c r="AB15" i="5"/>
  <c r="AC15" i="5" s="1"/>
  <c r="AB18" i="5"/>
  <c r="AB9" i="5"/>
  <c r="AC9" i="5" s="1"/>
  <c r="AC18" i="5" l="1"/>
  <c r="AC19" i="5" s="1"/>
  <c r="AB19" i="5"/>
  <c r="AC10" i="5"/>
  <c r="AB10" i="5"/>
  <c r="AC16" i="5"/>
  <c r="AB16" i="5"/>
  <c r="AC12" i="5"/>
  <c r="AB12" i="5"/>
  <c r="AB103" i="5"/>
  <c r="AB159" i="5" s="1"/>
  <c r="AC20" i="5" l="1"/>
  <c r="AB20" i="5"/>
  <c r="AC13" i="5"/>
  <c r="AB13" i="5"/>
  <c r="AC160" i="5" l="1"/>
  <c r="AC164" i="5" s="1"/>
  <c r="S103" i="5" l="1"/>
  <c r="S159" i="5" s="1"/>
  <c r="T103" i="5"/>
  <c r="T159" i="5" s="1"/>
  <c r="V103" i="5"/>
  <c r="V159" i="5" s="1"/>
  <c r="Z160" i="5" l="1"/>
  <c r="AB160" i="5" l="1"/>
  <c r="AC161" i="5" s="1"/>
  <c r="AC162" i="5" l="1"/>
  <c r="R16" i="5"/>
  <c r="R20" i="5" s="1"/>
  <c r="R57" i="5"/>
  <c r="R80" i="5" s="1"/>
  <c r="R160" i="5" l="1"/>
  <c r="R172" i="5" s="1"/>
  <c r="S79" i="5"/>
  <c r="T79" i="5"/>
  <c r="V79" i="5"/>
  <c r="S57" i="5"/>
  <c r="T57" i="5"/>
  <c r="V57" i="5"/>
  <c r="S16" i="5"/>
  <c r="T16" i="5"/>
  <c r="V16" i="5"/>
  <c r="X16" i="5"/>
  <c r="V80" i="5" l="1"/>
  <c r="T80" i="5"/>
  <c r="S80" i="5"/>
  <c r="V20" i="5"/>
  <c r="X20" i="5"/>
  <c r="S20" i="5"/>
  <c r="T20" i="5"/>
  <c r="X160" i="5" l="1"/>
  <c r="T160" i="5"/>
  <c r="V160" i="5"/>
  <c r="S160" i="5"/>
  <c r="S173" i="5" s="1"/>
  <c r="Y12" i="5"/>
  <c r="Y13" i="5" s="1"/>
  <c r="Y16" i="5" l="1"/>
  <c r="Y20" i="5" s="1"/>
  <c r="Y103" i="5"/>
  <c r="Y123" i="5" l="1"/>
  <c r="Y151" i="5"/>
  <c r="Y57" i="5"/>
  <c r="Y79" i="5"/>
  <c r="Y159" i="5" l="1"/>
  <c r="Y80" i="5"/>
  <c r="Y160" i="5" l="1"/>
  <c r="Z812" i="5"/>
  <c r="T172" i="5" l="1"/>
  <c r="S172" i="5" l="1"/>
  <c r="V172" i="5" l="1"/>
  <c r="Y163" i="5" l="1"/>
  <c r="X172" i="5" l="1"/>
</calcChain>
</file>

<file path=xl/sharedStrings.xml><?xml version="1.0" encoding="utf-8"?>
<sst xmlns="http://schemas.openxmlformats.org/spreadsheetml/2006/main" count="493" uniqueCount="122">
  <si>
    <t>MODIFICADO</t>
  </si>
  <si>
    <t>EJERCIDO</t>
  </si>
  <si>
    <t xml:space="preserve">ORIGINAL </t>
  </si>
  <si>
    <t>DEVENGADO</t>
  </si>
  <si>
    <t xml:space="preserve">MENSUAL </t>
  </si>
  <si>
    <t>AL PERIODO</t>
  </si>
  <si>
    <t>COMPROMETIDO</t>
  </si>
  <si>
    <t>AUTORIZO</t>
  </si>
  <si>
    <t>ELABORO</t>
  </si>
  <si>
    <t>DIFERENCIA</t>
  </si>
  <si>
    <t>PROGRAMADO ACUMULADO</t>
  </si>
  <si>
    <t xml:space="preserve"> </t>
  </si>
  <si>
    <t>DISPONIBLE</t>
  </si>
  <si>
    <t>CAPÍTULO 1000</t>
  </si>
  <si>
    <t>CAPÍTULO 2000</t>
  </si>
  <si>
    <t>CAPÍTULO 3000</t>
  </si>
  <si>
    <t>CAPÍTULO 4000</t>
  </si>
  <si>
    <t>EJERCIDO MENSUAL</t>
  </si>
  <si>
    <t>ESTADO DE DETALLE DEL PRESUPUESTO DE EGRESOS</t>
  </si>
  <si>
    <t>ANALITICO DE CLAVES</t>
  </si>
  <si>
    <t>(cifras en pesos)</t>
  </si>
  <si>
    <t>Mes:</t>
  </si>
  <si>
    <t>TOTAL GENERAL</t>
  </si>
  <si>
    <t>FI</t>
  </si>
  <si>
    <t>F</t>
  </si>
  <si>
    <t>SF</t>
  </si>
  <si>
    <t>AI</t>
  </si>
  <si>
    <t>FF</t>
  </si>
  <si>
    <t>FG</t>
  </si>
  <si>
    <t>FE</t>
  </si>
  <si>
    <t>OR</t>
  </si>
  <si>
    <t>PTDA</t>
  </si>
  <si>
    <t>TG</t>
  </si>
  <si>
    <t>DI</t>
  </si>
  <si>
    <t>DG</t>
  </si>
  <si>
    <t>TOTAL CLASIFICACIÓN FUNCIONAL   1 2 4   3 0 6</t>
  </si>
  <si>
    <t>TOTAL CLASIFICACIÓN FUNCIONAL   1 7 2   3 0 1</t>
  </si>
  <si>
    <t>TOTAL CLASIFICACIÓN FUNCIONAL   1 8 5   3 0 1</t>
  </si>
  <si>
    <t>TOTAL CLASIFICACIÓN FUNCIONAL   2 2 7   3 2 6</t>
  </si>
  <si>
    <t>S</t>
  </si>
  <si>
    <t>SB</t>
  </si>
  <si>
    <t>UR</t>
  </si>
  <si>
    <t>RC</t>
  </si>
  <si>
    <t>CENTRO GESTOR</t>
  </si>
  <si>
    <t>ÁREA FUNCIONAL</t>
  </si>
  <si>
    <t>FONDO</t>
  </si>
  <si>
    <t>POSICIÓN PRESUPUESTAL</t>
  </si>
  <si>
    <t>PROYECTO DE INVERSIÓN</t>
  </si>
  <si>
    <t>PF</t>
  </si>
  <si>
    <t xml:space="preserve">COMPROMETIDO SALDO ANTERIOR </t>
  </si>
  <si>
    <t>NOMBRE: LIC. ELISA LUGO IPIÑA</t>
  </si>
  <si>
    <t>CARGO: GERENTE DE ADMINISTRACIÓN Y FINANZAS</t>
  </si>
  <si>
    <t>AD</t>
  </si>
  <si>
    <t>NOMBRE: C.P. CECILIA MENDOZA FRÍAS</t>
  </si>
  <si>
    <t>CARGO: SUBGERENTE DE FINANZAS Y CONTROL</t>
  </si>
  <si>
    <t>GOBIERNO DE LA CIUDAD DE MÉXICO</t>
  </si>
  <si>
    <t>DEVENGADO ANTERIOR</t>
  </si>
  <si>
    <t>4</t>
  </si>
  <si>
    <t>09PFRC FIDEICOMISO DE RECUPERACIÓN CREDITICIA DE LA CIUDAD DE MÉXICO  (FIDERE)</t>
  </si>
  <si>
    <t>A09PC7001</t>
  </si>
  <si>
    <t>CAPÍTULO 5000</t>
  </si>
  <si>
    <t>A09PC7002</t>
  </si>
  <si>
    <t>ORGANISMOS , EMPRESAS Y FIDEICOMISOS DEL GCDMX</t>
  </si>
  <si>
    <t>INFORME PRESUPUESTAL DE FLUJO DE EFECTIVO</t>
  </si>
  <si>
    <t>(PESOS CON DECIMALES)</t>
  </si>
  <si>
    <r>
      <t xml:space="preserve">ENTIDAD:  </t>
    </r>
    <r>
      <rPr>
        <sz val="14"/>
        <rFont val="Arial"/>
        <family val="2"/>
      </rPr>
      <t xml:space="preserve"> FIDEICOMISO DE RECUPERACIÓN CREDITICIA DE LA CIUDAD DE MÉXICO   (FIDERE) </t>
    </r>
  </si>
  <si>
    <t>ACUMULADO AL MES DE:</t>
  </si>
  <si>
    <t>CONCEPTOS</t>
  </si>
  <si>
    <t>ORIGINAL</t>
  </si>
  <si>
    <t>PROGRAMADO</t>
  </si>
  <si>
    <t>RECAUDADO</t>
  </si>
  <si>
    <t>DISPONIBILIDAD INICIAL</t>
  </si>
  <si>
    <t>INGRESOS</t>
  </si>
  <si>
    <t>INGRESOS PROPIOS</t>
  </si>
  <si>
    <t>VENTA DE BIENES</t>
  </si>
  <si>
    <t>VENTA DE SERVICIOS</t>
  </si>
  <si>
    <t>INGRESOS DIVERSOS</t>
  </si>
  <si>
    <t>VENTA DE INVERSIONES</t>
  </si>
  <si>
    <t>OTROS</t>
  </si>
  <si>
    <t>OPERACIONES AJENAS</t>
  </si>
  <si>
    <t>POR CUENTA DE TERCEROS</t>
  </si>
  <si>
    <t>POR EROGACIONES RECUPERABLES</t>
  </si>
  <si>
    <t>APORTACIONES DEL GDF</t>
  </si>
  <si>
    <t>CORRIENTES</t>
  </si>
  <si>
    <t>CAPITAL</t>
  </si>
  <si>
    <t>TRANSFERENCIAS DEL GOB. FED.</t>
  </si>
  <si>
    <t>TOTAL DE INGRESOS</t>
  </si>
  <si>
    <t>GASTO</t>
  </si>
  <si>
    <t>RECURSOS PROPIOS</t>
  </si>
  <si>
    <t>GASTO CORRIENTE</t>
  </si>
  <si>
    <t>1000 SERVICIOS PERSONALES</t>
  </si>
  <si>
    <t>2000 MATERIALES Y SUMINISTROS</t>
  </si>
  <si>
    <t>3000 SERVICIOS GENERALES</t>
  </si>
  <si>
    <t>4000 TRANSFERENCIAS, ASIGNACIONES, SUBSIDIOS Y OTRAS AYUDAS</t>
  </si>
  <si>
    <t>GASTO DE CAPITAL</t>
  </si>
  <si>
    <t>5000 BIENES MUEBLES, INMUEBLES E INTANGIBLES</t>
  </si>
  <si>
    <t>6000 OBRA PÚBLICA</t>
  </si>
  <si>
    <t>INVERSIÓN FINANCIERA</t>
  </si>
  <si>
    <t>7000 INVERSIÓN FINANCIERA Y OTRAS PROVISIONES  1/</t>
  </si>
  <si>
    <t>PAGO DE DEUDA</t>
  </si>
  <si>
    <t>9100 AMORTIZACIÓN</t>
  </si>
  <si>
    <t>9200 INTERESES</t>
  </si>
  <si>
    <t>9500 ADEFAS</t>
  </si>
  <si>
    <t>CON FINANCIAMIENTO</t>
  </si>
  <si>
    <t>4000 AYUDAS, SUBSIDIOS Y TRANSFERENCIAS</t>
  </si>
  <si>
    <t>5000 BIENES MUEBLES E INMUEBLES</t>
  </si>
  <si>
    <t>7000 INVERSIÓN FINANCIERA   1/</t>
  </si>
  <si>
    <t>Se alcanzó menores ingresos en venta de servicios por $ 4,642,945.17 por estar pendiente de recibir  las aportaciones por las  actividades del Servicio  de  Apoyo  Legal  en  Materia  Fiscal   para  la  Recuperación  de  Créditos Fiscales  de  Impuestos  Federales. En Ingresos Diversos,  una mayor recaudación por  $187,049.00 de las carteras R.H.P., Cartera Mypes Locales y Federales, cedida por Fondeco, y Focomi Mypes, propiedad de FIDERE,  por las  acciones de las demandas judiciales. En Venta de inversiones una mayor recaudación por $1,891,215.06  a lo esperado en los intereses que dan las instituciones bancarias por la inversión de la recuperación de las carteras administradas y un mayor importe a invertir de nuestros remanentes presupuestales.
Por otra parte la cantidad de  $12,150,331.29  que se tiene en el original anual en la disponibilidad inicial, corresponde a nuestro remanente presupuestal pendiente de utilizar de ejercicios anteriores , mientras el modificado por $25,278,460.97, corresponde a la disponibilidad inicial por 12,150,331.29 más el reconocimiento de nuestros remanentes del ejericio 2016 por $14,241.129.68 menos $1,113,000.00 aplicación de remanentes como apoyo a los ingresos en el rubro de Ingresos Diversos.</t>
  </si>
  <si>
    <t>CON APORTACIONES</t>
  </si>
  <si>
    <t>CON TRANSFERENCIAS</t>
  </si>
  <si>
    <t>7000 INVERSIÓN FINANCIERA Y OTRAS PROVISIONES   1/</t>
  </si>
  <si>
    <t>GASTO TOTAL</t>
  </si>
  <si>
    <t>TOTAL INGRESOS</t>
  </si>
  <si>
    <t>TOTAL EGRESOS</t>
  </si>
  <si>
    <t>DISPONIBILIDAD PRESUPUESTAL</t>
  </si>
  <si>
    <t>DISPONIBILIDAD PRESUPUESTAL AL PERIODO</t>
  </si>
  <si>
    <t>1/ Incluye el gasto por Operaciones Ajenas</t>
  </si>
  <si>
    <t>AUTORIZA</t>
  </si>
  <si>
    <t>C.P. CECILIA MENDOZA FRÍAS</t>
  </si>
  <si>
    <t>LIC. ELISA LUGO IPIÑA</t>
  </si>
  <si>
    <t>NOMBRE Y FIRMA</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</si>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</sst>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
    <numFmt numFmtId="165" formatCode="_(* #,##0.00_);_(* \(#,##0.00\);_(* &quot;-&quot;??_);_(@_)"/>
    <numFmt numFmtId="166" formatCode="#,##0.0_ ;\-#,##0.0\ "/>
    <numFmt numFmtId="167" formatCode="_-* #,##0.0_-;\-* #,##0.0_-;_-* &quot;-&quot;??_-;_-@_-"/>
  </numFmts>
  <fonts count="4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b/>
      <sz val="12"/>
      <color indexed="8"/>
      <name val="Arial"/>
      <family val="2"/>
    </font>
    <font>
      <b/>
      <sz val="11"/>
      <color indexed="8"/>
      <name val="Arial"/>
      <family val="2"/>
    </font>
    <font>
      <sz val="11"/>
      <color indexed="8"/>
      <name val="Arial"/>
      <family val="2"/>
    </font>
    <font>
      <sz val="14"/>
      <color indexed="8"/>
      <name val="Arial"/>
      <family val="2"/>
    </font>
    <font>
      <b/>
      <sz val="14"/>
      <color indexed="8"/>
      <name val="Arial"/>
      <family val="2"/>
    </font>
    <font>
      <sz val="8"/>
      <name val="Arial"/>
      <family val="2"/>
    </font>
    <font>
      <sz val="11"/>
      <color theme="1"/>
      <name val="Calibri"/>
      <family val="2"/>
      <scheme val="minor"/>
    </font>
    <font>
      <sz val="14"/>
      <color indexed="8"/>
      <name val="Calibri"/>
      <family val="2"/>
      <scheme val="minor"/>
    </font>
    <font>
      <b/>
      <sz val="14"/>
      <color indexed="8"/>
      <name val="Calibri"/>
      <family val="2"/>
      <scheme val="minor"/>
    </font>
    <font>
      <b/>
      <sz val="10"/>
      <color theme="0" tint="-4.9989318521683403E-2"/>
      <name val="Arial"/>
      <family val="2"/>
    </font>
    <font>
      <b/>
      <sz val="14"/>
      <name val="Calibri"/>
      <family val="2"/>
      <scheme val="minor"/>
    </font>
    <font>
      <b/>
      <sz val="10"/>
      <color indexed="8"/>
      <name val="Arial"/>
      <family val="2"/>
    </font>
    <font>
      <sz val="11"/>
      <color indexed="8"/>
      <name val="Calibri"/>
      <family val="2"/>
      <scheme val="minor"/>
    </font>
    <font>
      <sz val="12"/>
      <color indexed="8"/>
      <name val="Calibri"/>
      <family val="2"/>
      <scheme val="minor"/>
    </font>
    <font>
      <b/>
      <sz val="10"/>
      <color theme="0"/>
      <name val="Arial"/>
      <family val="2"/>
    </font>
    <font>
      <sz val="11"/>
      <color indexed="8"/>
      <name val="Century Gothic"/>
      <family val="2"/>
    </font>
    <font>
      <sz val="14"/>
      <color indexed="8"/>
      <name val="Century Gothic"/>
      <family val="2"/>
    </font>
    <font>
      <b/>
      <sz val="14"/>
      <color indexed="8"/>
      <name val="Century Gothic"/>
      <family val="2"/>
    </font>
    <font>
      <sz val="12"/>
      <color indexed="8"/>
      <name val="Century Gothic"/>
      <family val="2"/>
    </font>
    <font>
      <b/>
      <sz val="14"/>
      <name val="Century Gothic"/>
      <family val="2"/>
    </font>
    <font>
      <b/>
      <sz val="16"/>
      <color indexed="8"/>
      <name val="Calibri"/>
      <family val="2"/>
      <scheme val="minor"/>
    </font>
    <font>
      <b/>
      <sz val="10"/>
      <name val="Century Gothic"/>
      <family val="2"/>
    </font>
    <font>
      <sz val="10"/>
      <name val="Century Gothic"/>
      <family val="2"/>
    </font>
    <font>
      <b/>
      <sz val="12"/>
      <name val="Calibri"/>
      <family val="2"/>
      <scheme val="minor"/>
    </font>
    <font>
      <b/>
      <sz val="10"/>
      <name val="Calibri"/>
      <family val="2"/>
      <scheme val="minor"/>
    </font>
    <font>
      <b/>
      <sz val="10"/>
      <name val="Arial"/>
      <family val="2"/>
    </font>
    <font>
      <b/>
      <sz val="14"/>
      <name val="Arial"/>
      <family val="2"/>
    </font>
    <font>
      <sz val="14"/>
      <name val="Arial"/>
      <family val="2"/>
    </font>
    <font>
      <b/>
      <sz val="14"/>
      <color theme="0" tint="-4.9989318521683403E-2"/>
      <name val="Arial"/>
      <family val="2"/>
    </font>
    <font>
      <sz val="10"/>
      <name val="Calibri"/>
      <family val="2"/>
      <scheme val="minor"/>
    </font>
    <font>
      <b/>
      <sz val="16"/>
      <name val="Calibri"/>
      <family val="2"/>
      <scheme val="minor"/>
    </font>
    <font>
      <sz val="16"/>
      <name val="Calibri"/>
      <family val="2"/>
      <scheme val="minor"/>
    </font>
    <font>
      <b/>
      <u/>
      <sz val="16"/>
      <name val="Calibri"/>
      <family val="2"/>
      <scheme val="minor"/>
    </font>
    <font>
      <sz val="14"/>
      <color theme="0" tint="-4.9989318521683403E-2"/>
      <name val="Arial"/>
      <family val="2"/>
    </font>
    <font>
      <sz val="14"/>
      <color indexed="14"/>
      <name val="Arial"/>
      <family val="2"/>
    </font>
  </fonts>
  <fills count="6">
    <fill>
      <patternFill patternType="none"/>
    </fill>
    <fill>
      <patternFill patternType="gray125"/>
    </fill>
    <fill>
      <patternFill patternType="solid">
        <fgColor theme="0" tint="-0.34998626667073579"/>
        <bgColor indexed="64"/>
      </patternFill>
    </fill>
    <fill>
      <patternFill patternType="solid">
        <fgColor theme="4" tint="0.39997558519241921"/>
        <bgColor indexed="64"/>
      </patternFill>
    </fill>
    <fill>
      <patternFill patternType="solid">
        <fgColor theme="4" tint="0.39997558519241921"/>
        <bgColor indexed="0"/>
      </patternFill>
    </fill>
    <fill>
      <patternFill patternType="solid">
        <fgColor indexed="9"/>
        <bgColor indexed="64"/>
      </patternFill>
    </fill>
  </fills>
  <borders count="21">
    <border>
      <left/>
      <right/>
      <top/>
      <bottom/>
      <diagonal/>
    </border>
    <border>
      <left/>
      <right/>
      <top/>
      <bottom style="thin">
        <color indexed="64"/>
      </bottom>
      <diagonal/>
    </border>
    <border>
      <left/>
      <right/>
      <top style="double">
        <color indexed="64"/>
      </top>
      <bottom style="double">
        <color indexed="64"/>
      </bottom>
      <diagonal/>
    </border>
    <border>
      <left/>
      <right/>
      <top style="thin">
        <color indexed="64"/>
      </top>
      <bottom style="double">
        <color indexed="64"/>
      </bottom>
      <diagonal/>
    </border>
    <border>
      <left/>
      <right/>
      <top style="thin">
        <color indexed="64"/>
      </top>
      <bottom/>
      <diagonal/>
    </border>
    <border>
      <left style="medium">
        <color theme="1" tint="0.499984740745262"/>
      </left>
      <right style="medium">
        <color theme="1" tint="0.499984740745262"/>
      </right>
      <top style="medium">
        <color theme="1" tint="0.499984740745262"/>
      </top>
      <bottom/>
      <diagonal/>
    </border>
    <border>
      <left style="medium">
        <color theme="1" tint="0.499984740745262"/>
      </left>
      <right style="medium">
        <color theme="1" tint="0.499984740745262"/>
      </right>
      <top/>
      <bottom style="medium">
        <color theme="1" tint="0.499984740745262"/>
      </bottom>
      <diagonal/>
    </border>
    <border>
      <left/>
      <right style="medium">
        <color theme="1" tint="0.499984740745262"/>
      </right>
      <top style="medium">
        <color theme="1" tint="0.499984740745262"/>
      </top>
      <bottom/>
      <diagonal/>
    </border>
    <border>
      <left/>
      <right style="medium">
        <color theme="1" tint="0.499984740745262"/>
      </right>
      <top/>
      <bottom style="medium">
        <color theme="1" tint="0.499984740745262"/>
      </bottom>
      <diagonal/>
    </border>
    <border>
      <left style="medium">
        <color theme="1" tint="0.34998626667073579"/>
      </left>
      <right style="medium">
        <color theme="1" tint="0.34998626667073579"/>
      </right>
      <top style="medium">
        <color theme="1" tint="0.34998626667073579"/>
      </top>
      <bottom style="medium">
        <color theme="1" tint="0.34998626667073579"/>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43" fontId="4" fillId="0" borderId="0" applyFont="0" applyFill="0" applyBorder="0" applyAlignment="0" applyProtection="0"/>
    <xf numFmtId="43" fontId="5" fillId="0" borderId="0" applyFont="0" applyFill="0" applyBorder="0" applyAlignment="0" applyProtection="0"/>
    <xf numFmtId="0" fontId="13" fillId="0" borderId="0"/>
    <xf numFmtId="0" fontId="6" fillId="0" borderId="0"/>
    <xf numFmtId="0" fontId="3" fillId="0" borderId="0"/>
    <xf numFmtId="0" fontId="2" fillId="0" borderId="0"/>
    <xf numFmtId="43" fontId="2" fillId="0" borderId="0" applyFont="0" applyFill="0" applyBorder="0" applyAlignment="0" applyProtection="0"/>
    <xf numFmtId="0" fontId="4" fillId="0" borderId="0"/>
  </cellStyleXfs>
  <cellXfs count="190">
    <xf numFmtId="0" fontId="0" fillId="0" borderId="0" xfId="0"/>
    <xf numFmtId="0" fontId="9" fillId="0" borderId="0" xfId="3" applyFont="1"/>
    <xf numFmtId="0" fontId="8" fillId="0" borderId="0" xfId="3" applyFont="1"/>
    <xf numFmtId="43" fontId="11" fillId="0" borderId="0" xfId="3" applyNumberFormat="1" applyFont="1" applyBorder="1" applyAlignment="1"/>
    <xf numFmtId="4" fontId="11" fillId="0" borderId="0" xfId="3" applyNumberFormat="1" applyFont="1" applyAlignment="1"/>
    <xf numFmtId="0" fontId="10" fillId="0" borderId="0" xfId="3" applyFont="1"/>
    <xf numFmtId="0" fontId="10" fillId="0" borderId="1" xfId="3" applyFont="1" applyBorder="1"/>
    <xf numFmtId="43" fontId="10" fillId="0" borderId="1" xfId="3" applyNumberFormat="1" applyFont="1" applyBorder="1"/>
    <xf numFmtId="4" fontId="11" fillId="0" borderId="0" xfId="3" applyNumberFormat="1" applyFont="1" applyBorder="1" applyAlignment="1"/>
    <xf numFmtId="164" fontId="14" fillId="0" borderId="0" xfId="3" applyNumberFormat="1" applyFont="1" applyAlignment="1">
      <alignment horizontal="center"/>
    </xf>
    <xf numFmtId="164" fontId="14" fillId="0" borderId="0" xfId="3" applyNumberFormat="1" applyFont="1" applyAlignment="1"/>
    <xf numFmtId="43" fontId="14" fillId="0" borderId="0" xfId="3" applyNumberFormat="1" applyFont="1" applyAlignment="1"/>
    <xf numFmtId="164" fontId="15" fillId="0" borderId="0" xfId="3" applyNumberFormat="1" applyFont="1" applyAlignment="1"/>
    <xf numFmtId="43" fontId="14" fillId="0" borderId="1" xfId="3" applyNumberFormat="1" applyFont="1" applyBorder="1" applyAlignment="1"/>
    <xf numFmtId="43" fontId="15" fillId="0" borderId="0" xfId="3" applyNumberFormat="1" applyFont="1" applyAlignment="1"/>
    <xf numFmtId="43" fontId="15" fillId="0" borderId="2" xfId="3" applyNumberFormat="1" applyFont="1" applyBorder="1" applyAlignment="1"/>
    <xf numFmtId="0" fontId="14" fillId="0" borderId="0" xfId="3" applyFont="1"/>
    <xf numFmtId="43" fontId="14" fillId="0" borderId="0" xfId="1" applyFont="1"/>
    <xf numFmtId="0" fontId="6" fillId="0" borderId="0" xfId="3" applyFont="1"/>
    <xf numFmtId="0" fontId="8" fillId="0" borderId="0" xfId="3" applyFont="1" applyAlignment="1">
      <alignment vertical="top"/>
    </xf>
    <xf numFmtId="0" fontId="9" fillId="0" borderId="0" xfId="3" applyFont="1" applyAlignment="1">
      <alignment vertical="top"/>
    </xf>
    <xf numFmtId="0" fontId="8" fillId="0" borderId="0" xfId="3" applyFont="1" applyAlignment="1">
      <alignment horizontal="right"/>
    </xf>
    <xf numFmtId="43" fontId="19" fillId="0" borderId="0" xfId="1" applyFont="1"/>
    <xf numFmtId="0" fontId="19" fillId="0" borderId="0" xfId="3" applyFont="1"/>
    <xf numFmtId="43" fontId="19" fillId="0" borderId="0" xfId="3" applyNumberFormat="1" applyFont="1"/>
    <xf numFmtId="15" fontId="9" fillId="0" borderId="0" xfId="3" applyNumberFormat="1" applyFont="1" applyAlignment="1">
      <alignment horizontal="center"/>
    </xf>
    <xf numFmtId="43" fontId="15" fillId="0" borderId="4" xfId="3" applyNumberFormat="1" applyFont="1" applyBorder="1" applyAlignment="1"/>
    <xf numFmtId="43" fontId="9" fillId="0" borderId="0" xfId="3" applyNumberFormat="1" applyFont="1"/>
    <xf numFmtId="0" fontId="17" fillId="0" borderId="0" xfId="0" applyFont="1" applyAlignment="1">
      <alignment horizontal="center"/>
    </xf>
    <xf numFmtId="43" fontId="9" fillId="0" borderId="0" xfId="1" applyFont="1"/>
    <xf numFmtId="0" fontId="0" fillId="0" borderId="0" xfId="0" applyAlignment="1">
      <alignment vertical="center" wrapText="1"/>
    </xf>
    <xf numFmtId="43" fontId="14" fillId="0" borderId="0" xfId="3" applyNumberFormat="1" applyFont="1" applyFill="1" applyAlignment="1"/>
    <xf numFmtId="43" fontId="20" fillId="0" borderId="0" xfId="3" applyNumberFormat="1" applyFont="1"/>
    <xf numFmtId="0" fontId="14" fillId="0" borderId="0" xfId="3" applyNumberFormat="1" applyFont="1" applyAlignment="1">
      <alignment horizontal="center"/>
    </xf>
    <xf numFmtId="4" fontId="19" fillId="0" borderId="0" xfId="3" applyNumberFormat="1" applyFont="1"/>
    <xf numFmtId="43" fontId="14" fillId="0" borderId="1" xfId="3" applyNumberFormat="1" applyFont="1" applyFill="1" applyBorder="1" applyAlignment="1"/>
    <xf numFmtId="43" fontId="15" fillId="0" borderId="0" xfId="3" applyNumberFormat="1" applyFont="1" applyFill="1" applyAlignment="1"/>
    <xf numFmtId="43" fontId="15" fillId="0" borderId="2" xfId="3" applyNumberFormat="1" applyFont="1" applyFill="1" applyBorder="1" applyAlignment="1"/>
    <xf numFmtId="43" fontId="15" fillId="0" borderId="4" xfId="3" applyNumberFormat="1" applyFont="1" applyFill="1" applyBorder="1" applyAlignment="1"/>
    <xf numFmtId="4" fontId="22" fillId="0" borderId="0" xfId="3" applyNumberFormat="1" applyFont="1"/>
    <xf numFmtId="0" fontId="22" fillId="0" borderId="0" xfId="3" applyFont="1"/>
    <xf numFmtId="43" fontId="23" fillId="0" borderId="0" xfId="1" applyNumberFormat="1" applyFont="1"/>
    <xf numFmtId="43" fontId="23" fillId="0" borderId="0" xfId="3" applyNumberFormat="1" applyFont="1" applyAlignment="1"/>
    <xf numFmtId="43" fontId="23" fillId="0" borderId="0" xfId="1" applyFont="1"/>
    <xf numFmtId="43" fontId="24" fillId="0" borderId="4" xfId="3" applyNumberFormat="1" applyFont="1" applyBorder="1" applyAlignment="1"/>
    <xf numFmtId="43" fontId="24" fillId="0" borderId="3" xfId="3" applyNumberFormat="1" applyFont="1" applyBorder="1" applyAlignment="1"/>
    <xf numFmtId="43" fontId="24" fillId="0" borderId="2" xfId="3" applyNumberFormat="1" applyFont="1" applyBorder="1" applyAlignment="1"/>
    <xf numFmtId="43" fontId="23" fillId="0" borderId="1" xfId="3" applyNumberFormat="1" applyFont="1" applyBorder="1" applyAlignment="1"/>
    <xf numFmtId="43" fontId="23" fillId="0" borderId="1" xfId="1" applyFont="1" applyBorder="1"/>
    <xf numFmtId="43" fontId="24" fillId="0" borderId="0" xfId="3" applyNumberFormat="1" applyFont="1" applyAlignment="1"/>
    <xf numFmtId="43" fontId="23" fillId="0" borderId="0" xfId="3" applyNumberFormat="1" applyFont="1" applyBorder="1" applyAlignment="1"/>
    <xf numFmtId="43" fontId="24" fillId="0" borderId="0" xfId="3" applyNumberFormat="1" applyFont="1" applyBorder="1" applyAlignment="1"/>
    <xf numFmtId="4" fontId="24" fillId="0" borderId="0" xfId="3" applyNumberFormat="1" applyFont="1" applyBorder="1"/>
    <xf numFmtId="43" fontId="24" fillId="0" borderId="0" xfId="1" applyFont="1" applyBorder="1"/>
    <xf numFmtId="4" fontId="23" fillId="0" borderId="0" xfId="3" applyNumberFormat="1" applyFont="1"/>
    <xf numFmtId="43" fontId="25" fillId="0" borderId="0" xfId="1" applyNumberFormat="1" applyFont="1" applyBorder="1"/>
    <xf numFmtId="43" fontId="25" fillId="0" borderId="0" xfId="3" applyNumberFormat="1" applyFont="1" applyBorder="1" applyAlignment="1"/>
    <xf numFmtId="43" fontId="22" fillId="0" borderId="0" xfId="3" applyNumberFormat="1" applyFont="1"/>
    <xf numFmtId="43" fontId="22" fillId="0" borderId="0" xfId="1" applyFont="1"/>
    <xf numFmtId="0" fontId="26" fillId="0" borderId="0" xfId="0" applyFont="1" applyAlignment="1"/>
    <xf numFmtId="43" fontId="25" fillId="0" borderId="0" xfId="3" applyNumberFormat="1" applyFont="1"/>
    <xf numFmtId="164" fontId="23" fillId="0" borderId="0" xfId="3" applyNumberFormat="1" applyFont="1" applyAlignment="1">
      <alignment horizontal="center"/>
    </xf>
    <xf numFmtId="43" fontId="27" fillId="0" borderId="0" xfId="3" applyNumberFormat="1" applyFont="1" applyAlignment="1"/>
    <xf numFmtId="43" fontId="23" fillId="0" borderId="0" xfId="1" applyNumberFormat="1" applyFont="1" applyBorder="1"/>
    <xf numFmtId="164" fontId="15" fillId="0" borderId="0" xfId="3" applyNumberFormat="1" applyFont="1" applyAlignment="1">
      <alignment horizontal="center"/>
    </xf>
    <xf numFmtId="0" fontId="21" fillId="3" borderId="9" xfId="0" applyFont="1" applyFill="1" applyBorder="1" applyAlignment="1">
      <alignment horizontal="center"/>
    </xf>
    <xf numFmtId="164" fontId="16" fillId="4" borderId="9" xfId="4" applyNumberFormat="1" applyFont="1" applyFill="1" applyBorder="1" applyAlignment="1">
      <alignment horizontal="center" vertical="center" wrapText="1"/>
    </xf>
    <xf numFmtId="0" fontId="16" fillId="3" borderId="9" xfId="0" applyFont="1" applyFill="1" applyBorder="1" applyAlignment="1">
      <alignment horizontal="center"/>
    </xf>
    <xf numFmtId="0" fontId="28" fillId="2" borderId="5" xfId="0" applyFont="1" applyFill="1" applyBorder="1" applyAlignment="1">
      <alignment horizontal="center" vertical="center" wrapText="1"/>
    </xf>
    <xf numFmtId="0" fontId="29" fillId="2" borderId="6" xfId="0" applyFont="1" applyFill="1" applyBorder="1" applyAlignment="1">
      <alignment horizontal="center" vertical="center" wrapText="1"/>
    </xf>
    <xf numFmtId="43" fontId="23" fillId="0" borderId="0" xfId="1" applyFont="1" applyBorder="1"/>
    <xf numFmtId="43" fontId="23" fillId="0" borderId="1" xfId="1" applyNumberFormat="1" applyFont="1" applyBorder="1"/>
    <xf numFmtId="43" fontId="24" fillId="0" borderId="1" xfId="3" applyNumberFormat="1" applyFont="1" applyBorder="1" applyAlignment="1"/>
    <xf numFmtId="43" fontId="15" fillId="0" borderId="0" xfId="3" applyNumberFormat="1" applyFont="1" applyBorder="1" applyAlignment="1"/>
    <xf numFmtId="43" fontId="15" fillId="0" borderId="0" xfId="3" applyNumberFormat="1" applyFont="1" applyFill="1" applyBorder="1" applyAlignment="1"/>
    <xf numFmtId="0" fontId="30" fillId="0" borderId="0" xfId="0" applyFont="1" applyAlignment="1">
      <alignment horizontal="centerContinuous"/>
    </xf>
    <xf numFmtId="0" fontId="17" fillId="0" borderId="0" xfId="0" applyFont="1" applyAlignment="1">
      <alignment horizontal="centerContinuous"/>
    </xf>
    <xf numFmtId="4" fontId="17" fillId="0" borderId="0" xfId="0" applyNumberFormat="1" applyFont="1" applyAlignment="1">
      <alignment horizontal="centerContinuous"/>
    </xf>
    <xf numFmtId="0" fontId="4" fillId="0" borderId="0" xfId="0" applyFont="1"/>
    <xf numFmtId="0" fontId="31" fillId="0" borderId="0" xfId="0" applyFont="1" applyAlignment="1">
      <alignment horizontal="centerContinuous" vertical="top"/>
    </xf>
    <xf numFmtId="0" fontId="32" fillId="0" borderId="0" xfId="0" applyFont="1" applyAlignment="1">
      <alignment horizontal="centerContinuous" vertical="top"/>
    </xf>
    <xf numFmtId="0" fontId="33" fillId="0" borderId="0" xfId="0" applyFont="1" applyAlignment="1">
      <alignment horizontal="centerContinuous"/>
    </xf>
    <xf numFmtId="4" fontId="33" fillId="0" borderId="0" xfId="0" applyNumberFormat="1" applyFont="1" applyAlignment="1">
      <alignment horizontal="centerContinuous"/>
    </xf>
    <xf numFmtId="0" fontId="33" fillId="0" borderId="0" xfId="0" applyFont="1"/>
    <xf numFmtId="0" fontId="34" fillId="0" borderId="0" xfId="0" applyFont="1"/>
    <xf numFmtId="4" fontId="34" fillId="0" borderId="0" xfId="0" applyNumberFormat="1" applyFont="1"/>
    <xf numFmtId="0" fontId="33" fillId="0" borderId="0" xfId="0" applyFont="1" applyAlignment="1">
      <alignment horizontal="center"/>
    </xf>
    <xf numFmtId="15" fontId="33" fillId="0" borderId="0" xfId="0" applyNumberFormat="1" applyFont="1" applyAlignment="1">
      <alignment horizontal="center"/>
    </xf>
    <xf numFmtId="0" fontId="35" fillId="3" borderId="9" xfId="0" applyFont="1" applyFill="1" applyBorder="1" applyAlignment="1">
      <alignment horizontal="centerContinuous" vertical="center"/>
    </xf>
    <xf numFmtId="0" fontId="34" fillId="3" borderId="9" xfId="0" applyFont="1" applyFill="1" applyBorder="1" applyAlignment="1">
      <alignment horizontal="centerContinuous" vertical="center"/>
    </xf>
    <xf numFmtId="4" fontId="33" fillId="3" borderId="9" xfId="0" applyNumberFormat="1" applyFont="1" applyFill="1" applyBorder="1" applyAlignment="1">
      <alignment horizontal="center" vertical="center"/>
    </xf>
    <xf numFmtId="0" fontId="33" fillId="3" borderId="9" xfId="0" applyFont="1" applyFill="1" applyBorder="1" applyAlignment="1">
      <alignment horizontal="center" vertical="center"/>
    </xf>
    <xf numFmtId="0" fontId="32" fillId="0" borderId="1" xfId="0" applyFont="1" applyBorder="1"/>
    <xf numFmtId="0" fontId="4" fillId="0" borderId="1" xfId="0" applyFont="1" applyBorder="1"/>
    <xf numFmtId="4" fontId="32" fillId="0" borderId="1" xfId="0" applyNumberFormat="1" applyFont="1" applyBorder="1"/>
    <xf numFmtId="0" fontId="31" fillId="0" borderId="10" xfId="0" applyFont="1" applyBorder="1"/>
    <xf numFmtId="0" fontId="36" fillId="0" borderId="11" xfId="0" applyFont="1" applyBorder="1"/>
    <xf numFmtId="4" fontId="31" fillId="0" borderId="12" xfId="0" applyNumberFormat="1" applyFont="1" applyBorder="1"/>
    <xf numFmtId="0" fontId="37" fillId="0" borderId="13" xfId="0" applyFont="1" applyBorder="1" applyAlignment="1">
      <alignment horizontal="centerContinuous"/>
    </xf>
    <xf numFmtId="0" fontId="38" fillId="0" borderId="14" xfId="0" applyFont="1" applyBorder="1" applyAlignment="1">
      <alignment horizontal="centerContinuous"/>
    </xf>
    <xf numFmtId="4" fontId="37" fillId="0" borderId="15" xfId="0" applyNumberFormat="1" applyFont="1" applyBorder="1"/>
    <xf numFmtId="43" fontId="37" fillId="5" borderId="15" xfId="1" applyFont="1" applyFill="1" applyBorder="1"/>
    <xf numFmtId="0" fontId="37" fillId="0" borderId="13" xfId="0" applyFont="1" applyBorder="1"/>
    <xf numFmtId="0" fontId="38" fillId="0" borderId="14" xfId="0" applyFont="1" applyBorder="1"/>
    <xf numFmtId="0" fontId="39" fillId="0" borderId="0" xfId="0" applyFont="1" applyBorder="1" applyAlignment="1">
      <alignment horizontal="center"/>
    </xf>
    <xf numFmtId="4" fontId="37" fillId="0" borderId="15" xfId="8" applyNumberFormat="1" applyFont="1" applyBorder="1"/>
    <xf numFmtId="0" fontId="38" fillId="0" borderId="0" xfId="0" applyFont="1" applyBorder="1"/>
    <xf numFmtId="165" fontId="37" fillId="0" borderId="15" xfId="1" applyNumberFormat="1" applyFont="1" applyBorder="1"/>
    <xf numFmtId="0" fontId="38" fillId="0" borderId="13" xfId="0" applyFont="1" applyBorder="1"/>
    <xf numFmtId="0" fontId="37" fillId="0" borderId="0" xfId="0" applyFont="1" applyBorder="1"/>
    <xf numFmtId="0" fontId="37" fillId="0" borderId="13" xfId="8" applyFont="1" applyBorder="1"/>
    <xf numFmtId="0" fontId="38" fillId="0" borderId="0" xfId="8" applyFont="1" applyBorder="1"/>
    <xf numFmtId="0" fontId="38" fillId="0" borderId="13" xfId="8" applyFont="1" applyBorder="1"/>
    <xf numFmtId="0" fontId="37" fillId="0" borderId="0" xfId="8" applyFont="1" applyBorder="1"/>
    <xf numFmtId="0" fontId="38" fillId="0" borderId="16" xfId="8" applyFont="1" applyBorder="1"/>
    <xf numFmtId="0" fontId="37" fillId="0" borderId="1" xfId="8" applyFont="1" applyBorder="1"/>
    <xf numFmtId="165" fontId="37" fillId="0" borderId="17" xfId="1" applyNumberFormat="1" applyFont="1" applyBorder="1"/>
    <xf numFmtId="0" fontId="38" fillId="0" borderId="1" xfId="8" applyFont="1" applyBorder="1"/>
    <xf numFmtId="165" fontId="37" fillId="0" borderId="1" xfId="1" applyNumberFormat="1" applyFont="1" applyBorder="1"/>
    <xf numFmtId="0" fontId="37" fillId="0" borderId="18" xfId="8" applyFont="1" applyBorder="1"/>
    <xf numFmtId="0" fontId="38" fillId="0" borderId="19" xfId="8" applyFont="1" applyBorder="1"/>
    <xf numFmtId="165" fontId="37" fillId="0" borderId="20" xfId="1" applyNumberFormat="1" applyFont="1" applyBorder="1"/>
    <xf numFmtId="165" fontId="37" fillId="0" borderId="0" xfId="1" applyNumberFormat="1" applyFont="1" applyBorder="1"/>
    <xf numFmtId="0" fontId="38" fillId="0" borderId="0" xfId="0" applyFont="1"/>
    <xf numFmtId="4" fontId="38" fillId="0" borderId="0" xfId="8" applyNumberFormat="1" applyFont="1"/>
    <xf numFmtId="0" fontId="38" fillId="0" borderId="0" xfId="8" applyFont="1"/>
    <xf numFmtId="0" fontId="40" fillId="3" borderId="9" xfId="0" applyFont="1" applyFill="1" applyBorder="1" applyAlignment="1">
      <alignment horizontal="centerContinuous" vertical="center"/>
    </xf>
    <xf numFmtId="4" fontId="35" fillId="3" borderId="9" xfId="0" applyNumberFormat="1" applyFont="1" applyFill="1" applyBorder="1" applyAlignment="1">
      <alignment horizontal="center" vertical="center"/>
    </xf>
    <xf numFmtId="0" fontId="35" fillId="3" borderId="9" xfId="0" applyFont="1" applyFill="1" applyBorder="1" applyAlignment="1">
      <alignment horizontal="center" vertical="center"/>
    </xf>
    <xf numFmtId="0" fontId="37" fillId="0" borderId="19" xfId="0" applyFont="1" applyBorder="1"/>
    <xf numFmtId="0" fontId="38" fillId="0" borderId="19" xfId="0" applyFont="1" applyBorder="1"/>
    <xf numFmtId="4" fontId="37" fillId="0" borderId="19" xfId="0" applyNumberFormat="1" applyFont="1" applyBorder="1"/>
    <xf numFmtId="0" fontId="39" fillId="0" borderId="13" xfId="0" applyFont="1" applyBorder="1" applyAlignment="1">
      <alignment horizontal="centerContinuous"/>
    </xf>
    <xf numFmtId="0" fontId="37" fillId="0" borderId="0" xfId="0" applyFont="1" applyBorder="1" applyAlignment="1">
      <alignment horizontal="centerContinuous"/>
    </xf>
    <xf numFmtId="4" fontId="38" fillId="0" borderId="15" xfId="8" applyNumberFormat="1" applyFont="1" applyBorder="1"/>
    <xf numFmtId="0" fontId="38" fillId="0" borderId="15" xfId="8" applyFont="1" applyBorder="1"/>
    <xf numFmtId="165" fontId="37" fillId="0" borderId="15" xfId="8" applyNumberFormat="1" applyFont="1" applyBorder="1"/>
    <xf numFmtId="0" fontId="37" fillId="0" borderId="0" xfId="0" applyFont="1" applyBorder="1" applyAlignment="1">
      <alignment horizontal="justify" vertical="top" wrapText="1"/>
    </xf>
    <xf numFmtId="165" fontId="38" fillId="0" borderId="15" xfId="8" applyNumberFormat="1" applyFont="1" applyBorder="1"/>
    <xf numFmtId="0" fontId="38" fillId="0" borderId="16" xfId="0" applyFont="1" applyBorder="1"/>
    <xf numFmtId="0" fontId="37" fillId="0" borderId="1" xfId="0" applyFont="1" applyBorder="1"/>
    <xf numFmtId="165" fontId="38" fillId="0" borderId="17" xfId="8" applyNumberFormat="1" applyFont="1" applyBorder="1"/>
    <xf numFmtId="165" fontId="38" fillId="0" borderId="0" xfId="8" applyNumberFormat="1" applyFont="1"/>
    <xf numFmtId="0" fontId="37" fillId="0" borderId="10" xfId="0" applyFont="1" applyBorder="1" applyAlignment="1">
      <alignment horizontal="centerContinuous"/>
    </xf>
    <xf numFmtId="0" fontId="38" fillId="0" borderId="4" xfId="0" applyFont="1" applyBorder="1" applyAlignment="1">
      <alignment horizontal="centerContinuous"/>
    </xf>
    <xf numFmtId="165" fontId="37" fillId="0" borderId="12" xfId="8" applyNumberFormat="1" applyFont="1" applyBorder="1"/>
    <xf numFmtId="0" fontId="38" fillId="0" borderId="1" xfId="0" applyFont="1" applyBorder="1"/>
    <xf numFmtId="0" fontId="38" fillId="0" borderId="4" xfId="0" applyFont="1" applyBorder="1"/>
    <xf numFmtId="165" fontId="38" fillId="0" borderId="4" xfId="8" applyNumberFormat="1" applyFont="1" applyBorder="1"/>
    <xf numFmtId="165" fontId="37" fillId="0" borderId="15" xfId="8" applyNumberFormat="1" applyFont="1" applyBorder="1" applyProtection="1">
      <protection locked="0"/>
    </xf>
    <xf numFmtId="0" fontId="37" fillId="0" borderId="4" xfId="0" applyFont="1" applyBorder="1" applyAlignment="1">
      <alignment horizontal="centerContinuous"/>
    </xf>
    <xf numFmtId="0" fontId="37" fillId="0" borderId="18" xfId="0" applyFont="1" applyBorder="1"/>
    <xf numFmtId="165" fontId="37" fillId="0" borderId="20" xfId="8" applyNumberFormat="1" applyFont="1" applyBorder="1"/>
    <xf numFmtId="165" fontId="37" fillId="0" borderId="19" xfId="8" applyNumberFormat="1" applyFont="1" applyBorder="1"/>
    <xf numFmtId="0" fontId="37" fillId="0" borderId="0" xfId="0" applyFont="1" applyFill="1" applyBorder="1"/>
    <xf numFmtId="4" fontId="38" fillId="0" borderId="0" xfId="0" applyNumberFormat="1" applyFont="1"/>
    <xf numFmtId="0" fontId="37" fillId="0" borderId="0" xfId="0" applyFont="1" applyAlignment="1">
      <alignment horizontal="center"/>
    </xf>
    <xf numFmtId="4" fontId="37" fillId="0" borderId="0" xfId="0" applyNumberFormat="1" applyFont="1"/>
    <xf numFmtId="0" fontId="37" fillId="0" borderId="0" xfId="0" applyFont="1"/>
    <xf numFmtId="0" fontId="37" fillId="0" borderId="0" xfId="0" applyFont="1" applyAlignment="1">
      <alignment horizontal="centerContinuous"/>
    </xf>
    <xf numFmtId="4" fontId="4" fillId="0" borderId="0" xfId="0" applyNumberFormat="1" applyFont="1"/>
    <xf numFmtId="165" fontId="4" fillId="0" borderId="0" xfId="0" applyNumberFormat="1" applyFont="1"/>
    <xf numFmtId="43" fontId="4" fillId="0" borderId="0" xfId="0" applyNumberFormat="1" applyFont="1"/>
    <xf numFmtId="0" fontId="37" fillId="0" borderId="0" xfId="0" applyFont="1" applyBorder="1" applyAlignment="1">
      <alignment horizontal="justify" vertical="top" wrapText="1"/>
    </xf>
    <xf numFmtId="0" fontId="37" fillId="0" borderId="0" xfId="0" applyFont="1" applyAlignment="1">
      <alignment horizontal="center"/>
    </xf>
    <xf numFmtId="0" fontId="17" fillId="0" borderId="0" xfId="0" applyFont="1" applyAlignment="1">
      <alignment horizontal="center"/>
    </xf>
    <xf numFmtId="0" fontId="15" fillId="0" borderId="4" xfId="3" applyFont="1" applyBorder="1" applyAlignment="1">
      <alignment horizontal="center"/>
    </xf>
    <xf numFmtId="0" fontId="17" fillId="0" borderId="4" xfId="0" applyFont="1" applyBorder="1" applyAlignment="1">
      <alignment horizontal="center"/>
    </xf>
    <xf numFmtId="0" fontId="28" fillId="2" borderId="5" xfId="0" applyFont="1" applyFill="1" applyBorder="1" applyAlignment="1">
      <alignment horizontal="center" vertical="center" wrapText="1"/>
    </xf>
    <xf numFmtId="0" fontId="29" fillId="2" borderId="6" xfId="0" applyFont="1" applyFill="1" applyBorder="1" applyAlignment="1">
      <alignment horizontal="center" vertical="center" wrapText="1"/>
    </xf>
    <xf numFmtId="164" fontId="16" fillId="4" borderId="9" xfId="4" applyNumberFormat="1" applyFont="1" applyFill="1" applyBorder="1" applyAlignment="1">
      <alignment horizontal="center" vertical="center" wrapText="1"/>
    </xf>
    <xf numFmtId="0" fontId="28" fillId="2" borderId="7"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8" fillId="0" borderId="0" xfId="3" applyFont="1" applyAlignment="1">
      <alignment horizontal="center"/>
    </xf>
    <xf numFmtId="0" fontId="7" fillId="0" borderId="0" xfId="3" applyFont="1" applyAlignment="1">
      <alignment horizontal="center"/>
    </xf>
    <xf numFmtId="164" fontId="15" fillId="0" borderId="0" xfId="3" applyNumberFormat="1" applyFont="1" applyAlignment="1">
      <alignment horizontal="center"/>
    </xf>
    <xf numFmtId="0" fontId="18" fillId="0" borderId="0" xfId="3" applyFont="1" applyAlignment="1">
      <alignment horizontal="center"/>
    </xf>
    <xf numFmtId="0" fontId="0" fillId="3" borderId="9" xfId="0" applyFill="1" applyBorder="1" applyAlignment="1">
      <alignment horizontal="center" vertical="center"/>
    </xf>
    <xf numFmtId="2" fontId="34" fillId="0" borderId="0" xfId="0" applyNumberFormat="1" applyFont="1"/>
    <xf numFmtId="43" fontId="34" fillId="0" borderId="0" xfId="1" applyFont="1"/>
    <xf numFmtId="43" fontId="34" fillId="0" borderId="0" xfId="0" applyNumberFormat="1" applyFont="1"/>
    <xf numFmtId="43" fontId="33" fillId="0" borderId="0" xfId="1" applyFont="1" applyFill="1" applyBorder="1"/>
    <xf numFmtId="165" fontId="34" fillId="0" borderId="0" xfId="0" applyNumberFormat="1" applyFont="1"/>
    <xf numFmtId="43" fontId="1" fillId="0" borderId="0" xfId="7" applyFont="1"/>
    <xf numFmtId="0" fontId="34" fillId="0" borderId="0" xfId="1" applyNumberFormat="1" applyFont="1"/>
    <xf numFmtId="43" fontId="33" fillId="0" borderId="0" xfId="1" applyFont="1" applyFill="1" applyBorder="1" applyAlignment="1">
      <alignment wrapText="1"/>
    </xf>
    <xf numFmtId="166" fontId="34" fillId="0" borderId="0" xfId="0" applyNumberFormat="1" applyFont="1"/>
    <xf numFmtId="166" fontId="34" fillId="0" borderId="0" xfId="1" applyNumberFormat="1" applyFont="1"/>
    <xf numFmtId="167" fontId="34" fillId="0" borderId="0" xfId="1" applyNumberFormat="1" applyFont="1"/>
    <xf numFmtId="167" fontId="41" fillId="0" borderId="0" xfId="1" applyNumberFormat="1" applyFont="1"/>
  </cellXfs>
  <cellStyles count="9">
    <cellStyle name="Millares" xfId="1" builtinId="3"/>
    <cellStyle name="Millares 2" xfId="7"/>
    <cellStyle name="Millares 3" xfId="2"/>
    <cellStyle name="Normal" xfId="0" builtinId="0"/>
    <cellStyle name="Normal 2" xfId="3"/>
    <cellStyle name="Normal 3" xfId="5"/>
    <cellStyle name="Normal 4" xfId="6"/>
    <cellStyle name="Normal_FORMATO FLUJO" xfId="8"/>
    <cellStyle name="Normal_Hoja1" xfId="4"/>
  </cellStyles>
  <dxfs count="13">
    <dxf>
      <font>
        <strike val="0"/>
        <color theme="0"/>
      </font>
      <fill>
        <patternFill>
          <bgColor rgb="FFCC00CC"/>
        </patternFill>
      </fill>
    </dxf>
    <dxf>
      <font>
        <condense val="0"/>
        <extend val="0"/>
        <color rgb="FF006100"/>
      </font>
      <fill>
        <patternFill>
          <bgColor rgb="FFC6EFCE"/>
        </patternFill>
      </fill>
    </dxf>
    <dxf>
      <border>
        <left style="dashDotDot">
          <color auto="1"/>
        </left>
        <right style="dashDotDot">
          <color auto="1"/>
        </right>
        <top style="dashDotDot">
          <color auto="1"/>
        </top>
        <bottom style="dashDotDot">
          <color auto="1"/>
        </bottom>
        <vertical/>
        <horizontal/>
      </border>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border>
        <left style="dashDotDot">
          <color auto="1"/>
        </left>
        <right style="dashDotDot">
          <color auto="1"/>
        </right>
        <top style="dashDotDot">
          <color auto="1"/>
        </top>
        <bottom style="dashDotDot">
          <color auto="1"/>
        </bottom>
        <vertical/>
        <horizontal/>
      </border>
    </dxf>
    <dxf>
      <border>
        <left style="dashDotDot">
          <color auto="1"/>
        </left>
        <right style="dashDotDot">
          <color auto="1"/>
        </right>
        <top style="dashDotDot">
          <color auto="1"/>
        </top>
        <bottom style="dashDotDot">
          <color auto="1"/>
        </bottom>
        <vertical/>
        <horizontal/>
      </border>
    </dxf>
    <dxf>
      <font>
        <condense val="0"/>
        <extend val="0"/>
        <color rgb="FF9C0006"/>
      </font>
      <fill>
        <patternFill>
          <bgColor rgb="FFFFC7CE"/>
        </patternFill>
      </fill>
    </dxf>
    <dxf>
      <border>
        <left style="dashDotDot">
          <color auto="1"/>
        </left>
        <right style="dashDotDot">
          <color auto="1"/>
        </right>
        <top style="dashDotDot">
          <color auto="1"/>
        </top>
        <bottom style="dashDotDot">
          <color auto="1"/>
        </bottom>
        <vertical/>
        <horizontal/>
      </border>
    </dxf>
    <dxf>
      <font>
        <strike val="0"/>
        <color theme="0"/>
      </font>
      <fill>
        <patternFill>
          <bgColor rgb="FFCC00CC"/>
        </patternFill>
      </fill>
    </dxf>
    <dxf>
      <font>
        <condense val="0"/>
        <extend val="0"/>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174625</xdr:rowOff>
    </xdr:from>
    <xdr:to>
      <xdr:col>1</xdr:col>
      <xdr:colOff>2000250</xdr:colOff>
      <xdr:row>3</xdr:row>
      <xdr:rowOff>174625</xdr:rowOff>
    </xdr:to>
    <xdr:pic>
      <xdr:nvPicPr>
        <xdr:cNvPr id="2" name="Imagen 1" descr="CDMX-0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412750"/>
          <a:ext cx="2000250" cy="5810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130629</xdr:colOff>
      <xdr:row>4</xdr:row>
      <xdr:rowOff>81642</xdr:rowOff>
    </xdr:to>
    <xdr:pic>
      <xdr:nvPicPr>
        <xdr:cNvPr id="3" name="Imagen 2" descr="CDMX-0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408214"/>
          <a:ext cx="2171700" cy="48985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pia%20de%20Flujo%20de%20Efectivo%20al%2030%20de%20Septiembre%20de%202017%20(0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mendoza/Documents/DOCUMENTOS/SUBGERENCIA%20DE%20FINANZAS/2017/PRESUPUESTO%20COMPROMETIDO%202017/Presupuesto%20Comprometido%20Total%20Septiembre%20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vperez/Desktop/PRESUPUESTOS%20VANESSA/2017/Calendarios/Calendario%20Septiembre%20201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cmendoza/Documents/DOCUMENTOS/SUBGERENCIA%20DE%20FINANZAS/2017/PRESUPUESTO%20COMPROMETIDO%202017/Presupuesto%20Comprometido%20al%2030%20de%20Septiembre%2020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lujo%20de%20Efectivo%20al%2031%20de%20Agosto%20de%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Analítico Septiembre"/>
    </sheetNames>
    <sheetDataSet>
      <sheetData sheetId="0"/>
      <sheetData sheetId="1">
        <row r="10">
          <cell r="R10">
            <v>80000</v>
          </cell>
          <cell r="S10">
            <v>80000</v>
          </cell>
          <cell r="T10">
            <v>80000</v>
          </cell>
          <cell r="V10">
            <v>57000</v>
          </cell>
        </row>
        <row r="12">
          <cell r="R12">
            <v>35000</v>
          </cell>
          <cell r="S12">
            <v>35000</v>
          </cell>
          <cell r="T12">
            <v>0</v>
          </cell>
          <cell r="V12">
            <v>0</v>
          </cell>
        </row>
        <row r="16">
          <cell r="R16">
            <v>42000</v>
          </cell>
          <cell r="S16">
            <v>42000</v>
          </cell>
          <cell r="T16">
            <v>42000</v>
          </cell>
          <cell r="V16">
            <v>888</v>
          </cell>
        </row>
        <row r="19">
          <cell r="R19">
            <v>80000</v>
          </cell>
          <cell r="S19">
            <v>80000</v>
          </cell>
          <cell r="T19">
            <v>20000</v>
          </cell>
          <cell r="V19">
            <v>0</v>
          </cell>
        </row>
        <row r="22">
          <cell r="R22">
            <v>5500034</v>
          </cell>
          <cell r="S22">
            <v>5500034</v>
          </cell>
          <cell r="T22">
            <v>4000024</v>
          </cell>
          <cell r="V22">
            <v>4000024</v>
          </cell>
        </row>
        <row r="25">
          <cell r="R25">
            <v>1000000</v>
          </cell>
          <cell r="S25">
            <v>1000000</v>
          </cell>
          <cell r="T25">
            <v>0</v>
          </cell>
          <cell r="V25">
            <v>0</v>
          </cell>
        </row>
        <row r="37">
          <cell r="R37">
            <v>2000000</v>
          </cell>
          <cell r="S37">
            <v>2000000</v>
          </cell>
          <cell r="T37">
            <v>1454544</v>
          </cell>
          <cell r="V37">
            <v>1454544</v>
          </cell>
        </row>
        <row r="38">
          <cell r="R38">
            <v>17048698</v>
          </cell>
          <cell r="S38">
            <v>17048698</v>
          </cell>
          <cell r="T38">
            <v>11507162</v>
          </cell>
          <cell r="V38">
            <v>10075644.889999999</v>
          </cell>
        </row>
        <row r="57">
          <cell r="R57">
            <v>399500</v>
          </cell>
          <cell r="S57">
            <v>399500</v>
          </cell>
          <cell r="T57">
            <v>376628</v>
          </cell>
          <cell r="V57">
            <v>305162.7</v>
          </cell>
        </row>
        <row r="79">
          <cell r="S79">
            <v>5177360</v>
          </cell>
          <cell r="T79">
            <v>3571737</v>
          </cell>
          <cell r="V79">
            <v>2435604.27</v>
          </cell>
        </row>
        <row r="82">
          <cell r="R82">
            <v>7750000</v>
          </cell>
          <cell r="S82">
            <v>7750000</v>
          </cell>
          <cell r="T82">
            <v>5636360</v>
          </cell>
          <cell r="V82">
            <v>5636360</v>
          </cell>
        </row>
        <row r="88">
          <cell r="R88">
            <v>2000000</v>
          </cell>
          <cell r="S88">
            <v>2000000</v>
          </cell>
          <cell r="T88">
            <v>0</v>
          </cell>
          <cell r="V88">
            <v>0</v>
          </cell>
        </row>
        <row r="102">
          <cell r="R102">
            <v>2645022</v>
          </cell>
          <cell r="S102">
            <v>2645022</v>
          </cell>
          <cell r="T102">
            <v>1923656</v>
          </cell>
          <cell r="V102">
            <v>1923656</v>
          </cell>
        </row>
        <row r="103">
          <cell r="R103">
            <v>32552819</v>
          </cell>
          <cell r="S103">
            <v>32552819</v>
          </cell>
          <cell r="T103">
            <v>21573171</v>
          </cell>
          <cell r="V103">
            <v>17634354.920000002</v>
          </cell>
        </row>
        <row r="123">
          <cell r="R123">
            <v>1193600</v>
          </cell>
          <cell r="S123">
            <v>1193600</v>
          </cell>
          <cell r="T123">
            <v>1050326</v>
          </cell>
          <cell r="V123">
            <v>645629.93999999994</v>
          </cell>
        </row>
        <row r="151">
          <cell r="R151">
            <v>26197171</v>
          </cell>
          <cell r="S151">
            <v>26177171</v>
          </cell>
          <cell r="T151">
            <v>19808607</v>
          </cell>
          <cell r="V151">
            <v>13742132.080000002</v>
          </cell>
        </row>
        <row r="152">
          <cell r="R152">
            <v>6000000</v>
          </cell>
          <cell r="S152">
            <v>6000000</v>
          </cell>
          <cell r="T152">
            <v>4363640</v>
          </cell>
          <cell r="V152">
            <v>4363640</v>
          </cell>
        </row>
        <row r="158">
          <cell r="S158">
            <v>1133000</v>
          </cell>
          <cell r="T158">
            <v>1133000</v>
          </cell>
          <cell r="V15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TOTAL RP"/>
      <sheetName val="A  FISCALES"/>
      <sheetName val="A  FISCALES (2)"/>
    </sheetNames>
    <sheetDataSet>
      <sheetData sheetId="0">
        <row r="177">
          <cell r="AA177">
            <v>74151609</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s>
    <sheetDataSet>
      <sheetData sheetId="0">
        <row r="2413">
          <cell r="S2413">
            <v>5600600.0600000005</v>
          </cell>
        </row>
        <row r="2512">
          <cell r="O2512">
            <v>88806148</v>
          </cell>
          <cell r="Q2512">
            <v>63526271</v>
          </cell>
          <cell r="S2512">
            <v>5600600.0599999996</v>
          </cell>
          <cell r="T2512">
            <v>49260056.800000004</v>
          </cell>
        </row>
        <row r="2516">
          <cell r="P2516">
            <v>89919148</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
      <sheetName val="A  Aportaciones"/>
      <sheetName val="A  Aportaciones (2)"/>
    </sheetNames>
    <sheetDataSet>
      <sheetData sheetId="0">
        <row r="218">
          <cell r="Y218">
            <v>15374720.199999999</v>
          </cell>
        </row>
      </sheetData>
      <sheetData sheetId="1">
        <row r="65">
          <cell r="Y65">
            <v>9516832</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osto"/>
      <sheetName val="Analítico Agosto"/>
    </sheetNames>
    <sheetDataSet>
      <sheetData sheetId="0"/>
      <sheetData sheetId="1">
        <row r="160">
          <cell r="W160">
            <v>119634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externalLinkPath" Target="/Documents%20and%20Settings/cmendozaf.FIDEREIII/Configuraci&#243;n%20local/Archivos%20temporales%20de%20Internet/OLK72/FIDERE%20FLUJO%2031%20DE%20ENERO%202009.xl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7"/>
  <sheetViews>
    <sheetView showGridLines="0" tabSelected="1" view="pageBreakPreview" topLeftCell="A11" zoomScale="75" zoomScaleNormal="75" zoomScaleSheetLayoutView="75" workbookViewId="0">
      <selection activeCell="J30" sqref="J30"/>
    </sheetView>
  </sheetViews>
  <sheetFormatPr baseColWidth="10" defaultRowHeight="12.75" outlineLevelRow="1" x14ac:dyDescent="0.2"/>
  <cols>
    <col min="1" max="1" width="2.7109375" style="78" customWidth="1"/>
    <col min="2" max="2" width="83.42578125" style="78" customWidth="1"/>
    <col min="3" max="3" width="27.7109375" style="160" customWidth="1"/>
    <col min="4" max="4" width="27.42578125" style="78" customWidth="1"/>
    <col min="5" max="5" width="34.5703125" style="78" customWidth="1"/>
    <col min="6" max="6" width="32.42578125" style="78" customWidth="1"/>
    <col min="7" max="8" width="21" style="78" bestFit="1" customWidth="1"/>
    <col min="9" max="9" width="19.42578125" style="78" bestFit="1" customWidth="1"/>
    <col min="10" max="11" width="21" style="78" bestFit="1" customWidth="1"/>
    <col min="12" max="12" width="19.42578125" style="78" bestFit="1" customWidth="1"/>
    <col min="13" max="16384" width="11.42578125" style="78"/>
  </cols>
  <sheetData>
    <row r="1" spans="1:14" ht="18.75" x14ac:dyDescent="0.3">
      <c r="A1" s="75" t="s">
        <v>62</v>
      </c>
      <c r="B1" s="76"/>
      <c r="C1" s="77"/>
      <c r="D1" s="76"/>
      <c r="E1" s="76"/>
      <c r="F1" s="76"/>
    </row>
    <row r="2" spans="1:14" ht="21" customHeight="1" x14ac:dyDescent="0.3">
      <c r="A2" s="75" t="s">
        <v>63</v>
      </c>
      <c r="B2" s="76"/>
      <c r="C2" s="77"/>
      <c r="D2" s="76"/>
      <c r="E2" s="76"/>
      <c r="F2" s="76"/>
    </row>
    <row r="3" spans="1:14" ht="24.75" customHeight="1" x14ac:dyDescent="0.3">
      <c r="A3" s="79" t="s">
        <v>64</v>
      </c>
      <c r="B3" s="76"/>
      <c r="C3" s="77"/>
      <c r="D3" s="76"/>
      <c r="E3" s="76"/>
      <c r="F3" s="76"/>
    </row>
    <row r="4" spans="1:14" ht="24.75" customHeight="1" x14ac:dyDescent="0.25">
      <c r="A4" s="80"/>
      <c r="B4" s="81"/>
      <c r="C4" s="82"/>
      <c r="D4" s="81"/>
      <c r="E4" s="81"/>
      <c r="F4" s="81"/>
    </row>
    <row r="5" spans="1:14" ht="18" x14ac:dyDescent="0.25">
      <c r="A5" s="83" t="s">
        <v>65</v>
      </c>
      <c r="B5" s="84"/>
      <c r="C5" s="85"/>
      <c r="D5" s="84"/>
      <c r="E5" s="84"/>
      <c r="F5" s="86"/>
    </row>
    <row r="6" spans="1:14" ht="18" x14ac:dyDescent="0.25">
      <c r="A6" s="83"/>
      <c r="B6" s="84"/>
      <c r="C6" s="85"/>
      <c r="D6" s="84"/>
      <c r="E6" s="84"/>
      <c r="F6" s="86"/>
    </row>
    <row r="7" spans="1:14" ht="18.75" thickBot="1" x14ac:dyDescent="0.3">
      <c r="B7" s="84"/>
      <c r="C7" s="85"/>
      <c r="D7" s="84"/>
      <c r="E7" s="83" t="s">
        <v>66</v>
      </c>
      <c r="F7" s="87">
        <v>43008</v>
      </c>
    </row>
    <row r="8" spans="1:14" ht="27.75" customHeight="1" thickBot="1" x14ac:dyDescent="0.3">
      <c r="A8" s="88" t="s">
        <v>67</v>
      </c>
      <c r="B8" s="89"/>
      <c r="C8" s="90" t="s">
        <v>68</v>
      </c>
      <c r="D8" s="91" t="s">
        <v>0</v>
      </c>
      <c r="E8" s="91" t="s">
        <v>69</v>
      </c>
      <c r="F8" s="91" t="s">
        <v>70</v>
      </c>
      <c r="G8" s="84"/>
      <c r="H8" s="84">
        <v>14241129.679999977</v>
      </c>
      <c r="I8" s="85"/>
      <c r="J8" s="84"/>
      <c r="K8" s="84"/>
      <c r="L8" s="84"/>
      <c r="M8" s="84"/>
      <c r="N8" s="84"/>
    </row>
    <row r="9" spans="1:14" ht="18" x14ac:dyDescent="0.25">
      <c r="A9" s="92"/>
      <c r="B9" s="93"/>
      <c r="C9" s="94"/>
      <c r="D9" s="94"/>
      <c r="E9" s="94"/>
      <c r="F9" s="94"/>
      <c r="G9" s="178"/>
      <c r="H9" s="179">
        <v>14241129.679999977</v>
      </c>
      <c r="I9" s="84"/>
      <c r="J9" s="84"/>
      <c r="K9" s="84"/>
      <c r="L9" s="84"/>
      <c r="M9" s="84"/>
      <c r="N9" s="84"/>
    </row>
    <row r="10" spans="1:14" ht="18" x14ac:dyDescent="0.25">
      <c r="A10" s="95"/>
      <c r="B10" s="96"/>
      <c r="C10" s="97"/>
      <c r="D10" s="97"/>
      <c r="E10" s="97"/>
      <c r="F10" s="97"/>
      <c r="G10" s="178"/>
      <c r="H10" s="84"/>
      <c r="I10" s="84"/>
      <c r="J10" s="84"/>
      <c r="K10" s="84"/>
      <c r="L10" s="84"/>
      <c r="M10" s="84"/>
      <c r="N10" s="84"/>
    </row>
    <row r="11" spans="1:14" ht="21" x14ac:dyDescent="0.35">
      <c r="A11" s="98" t="s">
        <v>71</v>
      </c>
      <c r="B11" s="99"/>
      <c r="C11" s="100">
        <v>12150331.289999999</v>
      </c>
      <c r="D11" s="101">
        <f>+C11+14241129.68-1113000</f>
        <v>25278460.969999999</v>
      </c>
      <c r="E11" s="101">
        <v>0</v>
      </c>
      <c r="F11" s="100"/>
      <c r="G11" s="179">
        <f>+H9+C11-G19</f>
        <v>25278460.969999976</v>
      </c>
      <c r="H11" s="85"/>
      <c r="I11" s="180"/>
      <c r="J11" s="85"/>
      <c r="K11" s="85"/>
      <c r="L11" s="84"/>
      <c r="M11" s="84"/>
      <c r="N11" s="84"/>
    </row>
    <row r="12" spans="1:14" ht="21" x14ac:dyDescent="0.35">
      <c r="A12" s="102"/>
      <c r="B12" s="103"/>
      <c r="C12" s="100"/>
      <c r="D12" s="100"/>
      <c r="E12" s="100"/>
      <c r="F12" s="100"/>
      <c r="G12" s="178"/>
      <c r="H12" s="84"/>
      <c r="I12" s="84"/>
      <c r="J12" s="84"/>
      <c r="K12" s="84"/>
      <c r="L12" s="84"/>
      <c r="M12" s="84"/>
      <c r="N12" s="84"/>
    </row>
    <row r="13" spans="1:14" ht="21" x14ac:dyDescent="0.35">
      <c r="A13" s="102"/>
      <c r="B13" s="104" t="s">
        <v>72</v>
      </c>
      <c r="C13" s="105"/>
      <c r="D13" s="105"/>
      <c r="E13" s="105"/>
      <c r="F13" s="105"/>
      <c r="G13" s="178"/>
      <c r="H13" s="84"/>
      <c r="I13" s="84"/>
      <c r="J13" s="84"/>
      <c r="K13" s="84"/>
      <c r="L13" s="84"/>
      <c r="M13" s="84"/>
      <c r="N13" s="84"/>
    </row>
    <row r="14" spans="1:14" ht="21" x14ac:dyDescent="0.35">
      <c r="A14" s="102"/>
      <c r="B14" s="106"/>
      <c r="C14" s="105"/>
      <c r="D14" s="105"/>
      <c r="E14" s="105"/>
      <c r="F14" s="105"/>
      <c r="G14" s="178"/>
      <c r="H14" s="84"/>
      <c r="I14" s="84"/>
      <c r="J14" s="84"/>
      <c r="K14" s="84"/>
      <c r="L14" s="84"/>
      <c r="M14" s="84"/>
      <c r="N14" s="84"/>
    </row>
    <row r="15" spans="1:14" ht="21" x14ac:dyDescent="0.35">
      <c r="A15" s="102" t="s">
        <v>73</v>
      </c>
      <c r="B15" s="106"/>
      <c r="C15" s="107">
        <f>SUM(C17:C21)</f>
        <v>61911092</v>
      </c>
      <c r="D15" s="107">
        <f>SUM(D17:D21)</f>
        <v>63024092</v>
      </c>
      <c r="E15" s="107">
        <f>SUM(E17:E21)</f>
        <v>46573537</v>
      </c>
      <c r="F15" s="107">
        <f>SUM(F17:F21)</f>
        <v>44008855.890000001</v>
      </c>
      <c r="G15" s="179">
        <f>+D15-C15</f>
        <v>1113000</v>
      </c>
      <c r="H15" s="181">
        <f>+F15-E15</f>
        <v>-2564681.1099999994</v>
      </c>
      <c r="I15" s="179"/>
      <c r="J15" s="84"/>
      <c r="K15" s="84"/>
      <c r="L15" s="84"/>
      <c r="M15" s="84"/>
      <c r="N15" s="84"/>
    </row>
    <row r="16" spans="1:14" ht="21" x14ac:dyDescent="0.35">
      <c r="A16" s="108"/>
      <c r="B16" s="106"/>
      <c r="C16" s="107"/>
      <c r="D16" s="107"/>
      <c r="E16" s="107"/>
      <c r="F16" s="107"/>
      <c r="G16" s="179"/>
      <c r="H16" s="181"/>
      <c r="I16" s="179"/>
      <c r="J16" s="84"/>
      <c r="K16" s="84"/>
      <c r="L16" s="84"/>
      <c r="M16" s="84"/>
      <c r="N16" s="84"/>
    </row>
    <row r="17" spans="1:14" ht="21" x14ac:dyDescent="0.35">
      <c r="A17" s="108"/>
      <c r="B17" s="109" t="s">
        <v>74</v>
      </c>
      <c r="C17" s="107"/>
      <c r="D17" s="107"/>
      <c r="E17" s="107"/>
      <c r="F17" s="107"/>
      <c r="G17" s="179"/>
      <c r="H17" s="181"/>
      <c r="I17" s="179"/>
      <c r="J17" s="84"/>
      <c r="K17" s="84"/>
      <c r="L17" s="84"/>
      <c r="M17" s="84"/>
      <c r="N17" s="84"/>
    </row>
    <row r="18" spans="1:14" ht="21" x14ac:dyDescent="0.35">
      <c r="A18" s="108"/>
      <c r="B18" s="109" t="s">
        <v>75</v>
      </c>
      <c r="C18" s="107">
        <v>59655007</v>
      </c>
      <c r="D18" s="107">
        <v>59655007</v>
      </c>
      <c r="E18" s="107">
        <v>43785341</v>
      </c>
      <c r="F18" s="107">
        <v>39142395.829999998</v>
      </c>
      <c r="G18" s="179">
        <f>+D18-C18</f>
        <v>0</v>
      </c>
      <c r="H18" s="181">
        <f>+F18-E18</f>
        <v>-4642945.1700000018</v>
      </c>
      <c r="I18" s="179">
        <f>+F18/E18*100</f>
        <v>89.396119651095091</v>
      </c>
      <c r="J18" s="180"/>
      <c r="K18" s="84"/>
      <c r="L18" s="84"/>
      <c r="M18" s="84"/>
      <c r="N18" s="84"/>
    </row>
    <row r="19" spans="1:14" ht="21" x14ac:dyDescent="0.35">
      <c r="A19" s="108"/>
      <c r="B19" s="109" t="s">
        <v>76</v>
      </c>
      <c r="C19" s="107">
        <v>123600</v>
      </c>
      <c r="D19" s="107">
        <f>123600+1113000</f>
        <v>1236600</v>
      </c>
      <c r="E19" s="107">
        <v>1205700</v>
      </c>
      <c r="F19" s="107">
        <v>1392749</v>
      </c>
      <c r="G19" s="179">
        <f>+D19-C19</f>
        <v>1113000</v>
      </c>
      <c r="H19" s="181">
        <f>+F19-E19</f>
        <v>187049</v>
      </c>
      <c r="I19" s="179">
        <f>+F19/E19*100</f>
        <v>115.5137264659534</v>
      </c>
      <c r="J19" s="84"/>
      <c r="K19" s="180"/>
      <c r="L19" s="84"/>
      <c r="M19" s="84"/>
      <c r="N19" s="84"/>
    </row>
    <row r="20" spans="1:14" ht="21" x14ac:dyDescent="0.35">
      <c r="A20" s="108"/>
      <c r="B20" s="109" t="s">
        <v>77</v>
      </c>
      <c r="C20" s="107">
        <v>2132485</v>
      </c>
      <c r="D20" s="107">
        <v>2132485</v>
      </c>
      <c r="E20" s="107">
        <v>1582496</v>
      </c>
      <c r="F20" s="107">
        <v>3473711.06</v>
      </c>
      <c r="G20" s="179">
        <f>+D20-C20</f>
        <v>0</v>
      </c>
      <c r="H20" s="181">
        <f>+F20-E20</f>
        <v>1891215.06</v>
      </c>
      <c r="I20" s="179">
        <f>+F20/E20*100</f>
        <v>219.50836273835765</v>
      </c>
      <c r="J20" s="84"/>
      <c r="K20" s="84"/>
      <c r="L20" s="84"/>
      <c r="M20" s="84"/>
      <c r="N20" s="84"/>
    </row>
    <row r="21" spans="1:14" ht="21" x14ac:dyDescent="0.35">
      <c r="A21" s="108"/>
      <c r="B21" s="109" t="s">
        <v>78</v>
      </c>
      <c r="C21" s="107"/>
      <c r="D21" s="107"/>
      <c r="E21" s="107"/>
      <c r="F21" s="107"/>
      <c r="G21" s="179"/>
      <c r="H21" s="181"/>
      <c r="I21" s="179"/>
      <c r="J21" s="84"/>
      <c r="K21" s="84"/>
      <c r="L21" s="84"/>
      <c r="M21" s="84"/>
      <c r="N21" s="84"/>
    </row>
    <row r="22" spans="1:14" ht="21" x14ac:dyDescent="0.35">
      <c r="A22" s="108"/>
      <c r="B22" s="106"/>
      <c r="C22" s="107"/>
      <c r="D22" s="107"/>
      <c r="E22" s="107"/>
      <c r="F22" s="107"/>
      <c r="G22" s="179"/>
      <c r="H22" s="181"/>
      <c r="I22" s="179"/>
      <c r="J22" s="84"/>
      <c r="K22" s="84"/>
      <c r="L22" s="84"/>
      <c r="M22" s="84"/>
      <c r="N22" s="84"/>
    </row>
    <row r="23" spans="1:14" ht="21" x14ac:dyDescent="0.35">
      <c r="A23" s="102" t="s">
        <v>79</v>
      </c>
      <c r="B23" s="106"/>
      <c r="C23" s="107">
        <f>SUM(C25:C26)</f>
        <v>0</v>
      </c>
      <c r="D23" s="107">
        <f>SUM(D25:D26)</f>
        <v>0</v>
      </c>
      <c r="E23" s="107">
        <v>0</v>
      </c>
      <c r="F23" s="107">
        <f>SUM(F25:F26)</f>
        <v>0</v>
      </c>
      <c r="G23" s="179"/>
      <c r="H23" s="181"/>
      <c r="I23" s="179"/>
      <c r="J23" s="84"/>
      <c r="K23" s="84"/>
      <c r="L23" s="84"/>
      <c r="M23" s="84"/>
      <c r="N23" s="84"/>
    </row>
    <row r="24" spans="1:14" ht="21" x14ac:dyDescent="0.35">
      <c r="A24" s="108"/>
      <c r="B24" s="106"/>
      <c r="C24" s="107"/>
      <c r="D24" s="107"/>
      <c r="E24" s="107"/>
      <c r="F24" s="107"/>
      <c r="G24" s="179"/>
      <c r="H24" s="181"/>
      <c r="I24" s="179"/>
      <c r="J24" s="84"/>
      <c r="K24" s="84"/>
      <c r="L24" s="84"/>
      <c r="M24" s="84"/>
      <c r="N24" s="84"/>
    </row>
    <row r="25" spans="1:14" ht="21" x14ac:dyDescent="0.35">
      <c r="A25" s="108"/>
      <c r="B25" s="109" t="s">
        <v>80</v>
      </c>
      <c r="C25" s="107"/>
      <c r="D25" s="107"/>
      <c r="E25" s="107"/>
      <c r="F25" s="107"/>
      <c r="G25" s="179"/>
      <c r="H25" s="181"/>
      <c r="I25" s="179"/>
      <c r="J25" s="84"/>
      <c r="K25" s="84"/>
      <c r="L25" s="84"/>
      <c r="M25" s="84"/>
      <c r="N25" s="84"/>
    </row>
    <row r="26" spans="1:14" ht="21" x14ac:dyDescent="0.35">
      <c r="A26" s="108"/>
      <c r="B26" s="109" t="s">
        <v>81</v>
      </c>
      <c r="C26" s="107"/>
      <c r="D26" s="107"/>
      <c r="E26" s="107"/>
      <c r="F26" s="107"/>
      <c r="G26" s="179"/>
      <c r="H26" s="181"/>
      <c r="I26" s="179"/>
      <c r="J26" s="84"/>
      <c r="K26" s="84"/>
      <c r="L26" s="84"/>
      <c r="M26" s="84"/>
      <c r="N26" s="84"/>
    </row>
    <row r="27" spans="1:14" ht="21" x14ac:dyDescent="0.35">
      <c r="A27" s="108"/>
      <c r="B27" s="109"/>
      <c r="C27" s="107"/>
      <c r="D27" s="107"/>
      <c r="E27" s="107"/>
      <c r="F27" s="107"/>
      <c r="G27" s="179"/>
      <c r="H27" s="181"/>
      <c r="I27" s="179"/>
      <c r="J27" s="84"/>
      <c r="K27" s="84"/>
      <c r="L27" s="84"/>
      <c r="M27" s="84"/>
      <c r="N27" s="84"/>
    </row>
    <row r="28" spans="1:14" ht="21" x14ac:dyDescent="0.35">
      <c r="A28" s="110" t="s">
        <v>82</v>
      </c>
      <c r="B28" s="111"/>
      <c r="C28" s="107">
        <f>SUM(C30:C31)</f>
        <v>26895056</v>
      </c>
      <c r="D28" s="107">
        <f>SUM(D30:D31)</f>
        <v>26895056</v>
      </c>
      <c r="E28" s="107">
        <f>SUM(E30:E31)</f>
        <v>17378224</v>
      </c>
      <c r="F28" s="107">
        <f>SUM(F30:F31)</f>
        <v>17378224</v>
      </c>
      <c r="G28" s="179">
        <f>+D28-C28</f>
        <v>0</v>
      </c>
      <c r="H28" s="181">
        <f>+F28-E28</f>
        <v>0</v>
      </c>
      <c r="I28" s="179">
        <f>+F28/E28*100</f>
        <v>100</v>
      </c>
      <c r="J28" s="84"/>
      <c r="K28" s="84"/>
      <c r="L28" s="84"/>
      <c r="M28" s="84"/>
      <c r="N28" s="84"/>
    </row>
    <row r="29" spans="1:14" ht="21" x14ac:dyDescent="0.35">
      <c r="A29" s="112"/>
      <c r="B29" s="111"/>
      <c r="C29" s="107"/>
      <c r="D29" s="107"/>
      <c r="E29" s="107"/>
      <c r="F29" s="107"/>
      <c r="G29" s="179"/>
      <c r="H29" s="181">
        <f>+F29-E29</f>
        <v>0</v>
      </c>
      <c r="I29" s="179"/>
      <c r="J29" s="84"/>
      <c r="K29" s="84"/>
      <c r="L29" s="84"/>
      <c r="M29" s="84"/>
      <c r="N29" s="84"/>
    </row>
    <row r="30" spans="1:14" ht="21" x14ac:dyDescent="0.35">
      <c r="A30" s="112"/>
      <c r="B30" s="113" t="s">
        <v>83</v>
      </c>
      <c r="C30" s="107">
        <f>C100</f>
        <v>26895056</v>
      </c>
      <c r="D30" s="107">
        <f>D100</f>
        <v>26895056</v>
      </c>
      <c r="E30" s="107">
        <f>E100</f>
        <v>17378224</v>
      </c>
      <c r="F30" s="107">
        <f>F100</f>
        <v>17378224</v>
      </c>
      <c r="G30" s="179">
        <f>+D30-C30</f>
        <v>0</v>
      </c>
      <c r="H30" s="181">
        <f>+F30-E30</f>
        <v>0</v>
      </c>
      <c r="I30" s="179">
        <f>+F30/E30*100</f>
        <v>100</v>
      </c>
      <c r="J30" s="84"/>
      <c r="K30" s="84"/>
      <c r="L30" s="84"/>
      <c r="M30" s="84"/>
      <c r="N30" s="84"/>
    </row>
    <row r="31" spans="1:14" ht="21" x14ac:dyDescent="0.35">
      <c r="A31" s="112"/>
      <c r="B31" s="113" t="s">
        <v>84</v>
      </c>
      <c r="C31" s="107">
        <f>C114</f>
        <v>0</v>
      </c>
      <c r="D31" s="107">
        <f>D114</f>
        <v>0</v>
      </c>
      <c r="E31" s="107">
        <f>E112</f>
        <v>0</v>
      </c>
      <c r="F31" s="107">
        <f>F112</f>
        <v>0</v>
      </c>
      <c r="G31" s="179"/>
      <c r="H31" s="181"/>
      <c r="I31" s="179"/>
      <c r="J31" s="84"/>
      <c r="K31" s="84"/>
      <c r="L31" s="84"/>
      <c r="M31" s="84"/>
      <c r="N31" s="84"/>
    </row>
    <row r="32" spans="1:14" ht="21" x14ac:dyDescent="0.35">
      <c r="A32" s="112"/>
      <c r="B32" s="111"/>
      <c r="C32" s="107"/>
      <c r="D32" s="107"/>
      <c r="E32" s="107"/>
      <c r="F32" s="107"/>
      <c r="G32" s="179"/>
      <c r="H32" s="181"/>
      <c r="I32" s="179"/>
      <c r="J32" s="84"/>
      <c r="K32" s="84"/>
      <c r="L32" s="84"/>
      <c r="M32" s="84"/>
      <c r="N32" s="84"/>
    </row>
    <row r="33" spans="1:14" ht="21" x14ac:dyDescent="0.35">
      <c r="A33" s="110" t="s">
        <v>85</v>
      </c>
      <c r="B33" s="111"/>
      <c r="C33" s="107">
        <f>SUM(C35:C36)</f>
        <v>0</v>
      </c>
      <c r="D33" s="107">
        <f>SUM(D35:D36)</f>
        <v>0</v>
      </c>
      <c r="E33" s="107">
        <f>SUM(E35:E36)</f>
        <v>0</v>
      </c>
      <c r="F33" s="107">
        <f>SUM(F35:F36)</f>
        <v>0</v>
      </c>
      <c r="G33" s="179"/>
      <c r="H33" s="181"/>
      <c r="I33" s="179"/>
      <c r="J33" s="84"/>
      <c r="K33" s="84"/>
      <c r="L33" s="84"/>
      <c r="M33" s="84"/>
      <c r="N33" s="84"/>
    </row>
    <row r="34" spans="1:14" ht="21" x14ac:dyDescent="0.35">
      <c r="A34" s="112"/>
      <c r="B34" s="111"/>
      <c r="C34" s="107"/>
      <c r="D34" s="107"/>
      <c r="E34" s="107"/>
      <c r="F34" s="107"/>
      <c r="G34" s="179"/>
      <c r="H34" s="181"/>
      <c r="I34" s="179"/>
      <c r="J34" s="84"/>
      <c r="K34" s="84"/>
      <c r="L34" s="84"/>
      <c r="M34" s="84"/>
      <c r="N34" s="84"/>
    </row>
    <row r="35" spans="1:14" ht="21" x14ac:dyDescent="0.35">
      <c r="A35" s="112"/>
      <c r="B35" s="113" t="s">
        <v>83</v>
      </c>
      <c r="C35" s="107"/>
      <c r="D35" s="107"/>
      <c r="E35" s="107"/>
      <c r="F35" s="107"/>
      <c r="G35" s="179"/>
      <c r="H35" s="181"/>
      <c r="I35" s="179"/>
      <c r="J35" s="84"/>
      <c r="K35" s="84"/>
      <c r="L35" s="84"/>
      <c r="M35" s="84"/>
      <c r="N35" s="84"/>
    </row>
    <row r="36" spans="1:14" ht="21" x14ac:dyDescent="0.35">
      <c r="A36" s="112"/>
      <c r="B36" s="113" t="s">
        <v>84</v>
      </c>
      <c r="C36" s="107"/>
      <c r="D36" s="107"/>
      <c r="E36" s="107"/>
      <c r="F36" s="107"/>
      <c r="G36" s="179"/>
      <c r="H36" s="181"/>
      <c r="I36" s="179"/>
      <c r="J36" s="84"/>
      <c r="K36" s="84"/>
      <c r="L36" s="84"/>
      <c r="M36" s="84"/>
      <c r="N36" s="84"/>
    </row>
    <row r="37" spans="1:14" ht="21" x14ac:dyDescent="0.35">
      <c r="A37" s="112"/>
      <c r="B37" s="111"/>
      <c r="C37" s="107"/>
      <c r="D37" s="107"/>
      <c r="E37" s="107"/>
      <c r="F37" s="107"/>
      <c r="G37" s="179"/>
      <c r="H37" s="181"/>
      <c r="I37" s="179"/>
      <c r="J37" s="179"/>
      <c r="K37" s="84"/>
      <c r="L37" s="84"/>
      <c r="M37" s="84"/>
      <c r="N37" s="84"/>
    </row>
    <row r="38" spans="1:14" ht="21" x14ac:dyDescent="0.35">
      <c r="A38" s="110"/>
      <c r="B38" s="111"/>
      <c r="C38" s="107">
        <f>SUM(C40:C41)</f>
        <v>0</v>
      </c>
      <c r="D38" s="107">
        <f>SUM(D40:D41)</f>
        <v>0</v>
      </c>
      <c r="E38" s="107">
        <f>SUM(E40:E41)</f>
        <v>0</v>
      </c>
      <c r="F38" s="107">
        <f>SUM(F40:F41)</f>
        <v>0</v>
      </c>
      <c r="G38" s="179"/>
      <c r="H38" s="181"/>
      <c r="I38" s="179"/>
      <c r="J38" s="84"/>
      <c r="K38" s="84"/>
      <c r="L38" s="84"/>
      <c r="M38" s="84"/>
      <c r="N38" s="84"/>
    </row>
    <row r="39" spans="1:14" ht="21" x14ac:dyDescent="0.35">
      <c r="A39" s="112"/>
      <c r="B39" s="111"/>
      <c r="C39" s="107"/>
      <c r="D39" s="107"/>
      <c r="E39" s="107"/>
      <c r="F39" s="107"/>
      <c r="G39" s="179"/>
      <c r="H39" s="181"/>
      <c r="I39" s="179"/>
      <c r="J39" s="84"/>
      <c r="K39" s="84"/>
      <c r="L39" s="84"/>
      <c r="M39" s="84"/>
      <c r="N39" s="84"/>
    </row>
    <row r="40" spans="1:14" ht="21" x14ac:dyDescent="0.35">
      <c r="A40" s="112"/>
      <c r="B40" s="113"/>
      <c r="C40" s="107"/>
      <c r="D40" s="107"/>
      <c r="E40" s="107"/>
      <c r="F40" s="107"/>
      <c r="G40" s="179"/>
      <c r="H40" s="181"/>
      <c r="I40" s="179"/>
      <c r="J40" s="84"/>
      <c r="K40" s="84"/>
      <c r="L40" s="84"/>
      <c r="M40" s="84"/>
      <c r="N40" s="84"/>
    </row>
    <row r="41" spans="1:14" ht="21" x14ac:dyDescent="0.35">
      <c r="A41" s="114"/>
      <c r="B41" s="115"/>
      <c r="C41" s="116"/>
      <c r="D41" s="116"/>
      <c r="E41" s="116"/>
      <c r="F41" s="116"/>
      <c r="G41" s="179"/>
      <c r="H41" s="181"/>
      <c r="I41" s="179"/>
      <c r="J41" s="84"/>
      <c r="K41" s="84"/>
      <c r="L41" s="84"/>
      <c r="M41" s="84"/>
      <c r="N41" s="84"/>
    </row>
    <row r="42" spans="1:14" ht="21" x14ac:dyDescent="0.35">
      <c r="A42" s="117"/>
      <c r="B42" s="117"/>
      <c r="C42" s="118"/>
      <c r="D42" s="118"/>
      <c r="E42" s="118"/>
      <c r="F42" s="118"/>
      <c r="G42" s="179"/>
      <c r="H42" s="181"/>
      <c r="I42" s="179"/>
      <c r="J42" s="84"/>
      <c r="K42" s="182"/>
      <c r="L42" s="84"/>
      <c r="M42" s="84"/>
      <c r="N42" s="84"/>
    </row>
    <row r="43" spans="1:14" ht="21" x14ac:dyDescent="0.35">
      <c r="A43" s="119" t="s">
        <v>86</v>
      </c>
      <c r="B43" s="120"/>
      <c r="C43" s="121">
        <f>SUM(C15+C23+C33+C28+C38)</f>
        <v>88806148</v>
      </c>
      <c r="D43" s="121">
        <f>SUM(D15+D23+D33+D28+D38)</f>
        <v>89919148</v>
      </c>
      <c r="E43" s="121">
        <f>SUM(E15+E23+E33+E28+E38)</f>
        <v>63951761</v>
      </c>
      <c r="F43" s="121">
        <f>SUM(F15+F23+F33+F28+F38)</f>
        <v>61387079.890000001</v>
      </c>
      <c r="G43" s="179">
        <f>+D43-C43</f>
        <v>1113000</v>
      </c>
      <c r="H43" s="181">
        <f>+F43-E43</f>
        <v>-2564681.1099999994</v>
      </c>
      <c r="I43" s="179">
        <f>+F43/E43*100</f>
        <v>95.989663036800494</v>
      </c>
      <c r="J43" s="180">
        <f>+D43-F43</f>
        <v>28532068.109999999</v>
      </c>
      <c r="K43" s="183">
        <v>26679233.739999998</v>
      </c>
      <c r="L43" s="84"/>
      <c r="M43" s="180"/>
      <c r="N43" s="84"/>
    </row>
    <row r="44" spans="1:14" ht="21" x14ac:dyDescent="0.35">
      <c r="A44" s="113"/>
      <c r="B44" s="111"/>
      <c r="C44" s="122"/>
      <c r="D44" s="122"/>
      <c r="E44" s="122"/>
      <c r="F44" s="122"/>
      <c r="G44" s="179"/>
      <c r="H44" s="181"/>
      <c r="I44" s="179"/>
      <c r="J44" s="84"/>
      <c r="K44" s="180">
        <f>+J43-K43</f>
        <v>1852834.370000001</v>
      </c>
      <c r="L44" s="180">
        <v>1852834.37</v>
      </c>
      <c r="M44" s="84"/>
      <c r="N44" s="84"/>
    </row>
    <row r="45" spans="1:14" ht="21.75" thickBot="1" x14ac:dyDescent="0.4">
      <c r="A45" s="123"/>
      <c r="B45" s="123"/>
      <c r="C45" s="124"/>
      <c r="D45" s="125"/>
      <c r="E45" s="125"/>
      <c r="F45" s="125"/>
      <c r="G45" s="179"/>
      <c r="H45" s="181"/>
      <c r="I45" s="179"/>
      <c r="J45" s="84"/>
      <c r="K45" s="84"/>
      <c r="L45" s="84"/>
      <c r="M45" s="84"/>
      <c r="N45" s="84"/>
    </row>
    <row r="46" spans="1:14" ht="27.75" customHeight="1" thickBot="1" x14ac:dyDescent="0.3">
      <c r="A46" s="88" t="s">
        <v>67</v>
      </c>
      <c r="B46" s="126"/>
      <c r="C46" s="127" t="s">
        <v>68</v>
      </c>
      <c r="D46" s="128" t="s">
        <v>0</v>
      </c>
      <c r="E46" s="128" t="s">
        <v>69</v>
      </c>
      <c r="F46" s="128" t="s">
        <v>1</v>
      </c>
      <c r="G46" s="179"/>
      <c r="H46" s="181"/>
      <c r="I46" s="179"/>
      <c r="J46" s="84"/>
      <c r="K46" s="84"/>
      <c r="L46" s="84"/>
      <c r="M46" s="84"/>
      <c r="N46" s="84"/>
    </row>
    <row r="47" spans="1:14" ht="21" x14ac:dyDescent="0.35">
      <c r="A47" s="129"/>
      <c r="B47" s="130"/>
      <c r="C47" s="131"/>
      <c r="D47" s="131"/>
      <c r="E47" s="131"/>
      <c r="F47" s="131"/>
      <c r="G47" s="178"/>
      <c r="H47" s="179"/>
      <c r="I47" s="84"/>
      <c r="J47" s="84"/>
      <c r="K47" s="84"/>
      <c r="L47" s="84"/>
      <c r="M47" s="84"/>
      <c r="N47" s="84"/>
    </row>
    <row r="48" spans="1:14" ht="21" x14ac:dyDescent="0.35">
      <c r="A48" s="132" t="s">
        <v>87</v>
      </c>
      <c r="B48" s="133"/>
      <c r="C48" s="134"/>
      <c r="D48" s="135"/>
      <c r="E48" s="135"/>
      <c r="F48" s="135"/>
      <c r="G48" s="178"/>
      <c r="H48" s="181"/>
      <c r="I48" s="179"/>
      <c r="J48" s="84"/>
      <c r="K48" s="84"/>
      <c r="L48" s="84"/>
      <c r="M48" s="84"/>
      <c r="N48" s="84"/>
    </row>
    <row r="49" spans="1:14" ht="21" x14ac:dyDescent="0.35">
      <c r="A49" s="102"/>
      <c r="B49" s="109"/>
      <c r="C49" s="134"/>
      <c r="D49" s="135"/>
      <c r="E49" s="135"/>
      <c r="F49" s="135"/>
      <c r="G49" s="178"/>
      <c r="H49" s="181"/>
      <c r="I49" s="179"/>
      <c r="J49" s="84"/>
      <c r="K49" s="84"/>
      <c r="L49" s="84"/>
      <c r="M49" s="84"/>
      <c r="N49" s="84"/>
    </row>
    <row r="50" spans="1:14" ht="21" x14ac:dyDescent="0.35">
      <c r="A50" s="98" t="s">
        <v>88</v>
      </c>
      <c r="B50" s="133"/>
      <c r="C50" s="136">
        <f>SUM(C52+C59+C64+C68)</f>
        <v>61911092</v>
      </c>
      <c r="D50" s="136">
        <f>SUM(D52+D59+D64+D68)</f>
        <v>63024092</v>
      </c>
      <c r="E50" s="136">
        <f>SUM(E52+E59+E64+E68)</f>
        <v>46148047</v>
      </c>
      <c r="F50" s="136">
        <f>SUM(F52+F59+F64+F68)</f>
        <v>31881832.800000004</v>
      </c>
      <c r="G50" s="178">
        <f>+D50-C50</f>
        <v>1113000</v>
      </c>
      <c r="H50" s="181">
        <f>+E50-F50</f>
        <v>14266214.199999996</v>
      </c>
      <c r="I50" s="179">
        <f>+F50/E50*100</f>
        <v>69.085984938864271</v>
      </c>
      <c r="J50" s="84"/>
      <c r="K50" s="84"/>
      <c r="L50" s="84"/>
      <c r="M50" s="84"/>
      <c r="N50" s="84"/>
    </row>
    <row r="51" spans="1:14" ht="21" x14ac:dyDescent="0.35">
      <c r="A51" s="102"/>
      <c r="B51" s="109"/>
      <c r="C51" s="136"/>
      <c r="D51" s="136"/>
      <c r="E51" s="136"/>
      <c r="F51" s="136"/>
      <c r="G51" s="178"/>
      <c r="H51" s="181"/>
      <c r="I51" s="179"/>
      <c r="J51" s="84"/>
      <c r="K51" s="84"/>
      <c r="L51" s="84"/>
      <c r="M51" s="84"/>
      <c r="N51" s="84"/>
    </row>
    <row r="52" spans="1:14" ht="21" x14ac:dyDescent="0.35">
      <c r="A52" s="102" t="s">
        <v>89</v>
      </c>
      <c r="B52" s="109"/>
      <c r="C52" s="136">
        <f>SUM(C54:C57)</f>
        <v>61911092</v>
      </c>
      <c r="D52" s="136">
        <f>SUM(D54:D57)</f>
        <v>61891092</v>
      </c>
      <c r="E52" s="136">
        <f>SUM(E54:E57)</f>
        <v>45015047</v>
      </c>
      <c r="F52" s="136">
        <f>SUM(F54:F57)</f>
        <v>31881832.800000004</v>
      </c>
      <c r="G52" s="178">
        <f>+D52-C52</f>
        <v>-20000</v>
      </c>
      <c r="H52" s="181">
        <f>+E52-F52</f>
        <v>13133214.199999996</v>
      </c>
      <c r="I52" s="179">
        <f>+F52/E52*100</f>
        <v>70.824835082367017</v>
      </c>
      <c r="J52" s="84"/>
      <c r="K52" s="84"/>
      <c r="L52" s="84"/>
      <c r="M52" s="84"/>
      <c r="N52" s="84"/>
    </row>
    <row r="53" spans="1:14" ht="21" x14ac:dyDescent="0.35">
      <c r="A53" s="108"/>
      <c r="B53" s="106"/>
      <c r="C53" s="136"/>
      <c r="D53" s="136"/>
      <c r="E53" s="136"/>
      <c r="F53" s="136"/>
      <c r="G53" s="178"/>
      <c r="H53" s="181"/>
      <c r="I53" s="179"/>
      <c r="J53" s="84"/>
      <c r="K53" s="84"/>
      <c r="L53" s="84"/>
      <c r="M53" s="84"/>
      <c r="N53" s="84"/>
    </row>
    <row r="54" spans="1:14" ht="21" x14ac:dyDescent="0.35">
      <c r="A54" s="108"/>
      <c r="B54" s="109" t="s">
        <v>90</v>
      </c>
      <c r="C54" s="136">
        <f>'[1]Analítico Septiembre'!R10+'[1]Analítico Septiembre'!R38+'[1]Analítico Septiembre'!R103-Septiembre!C102</f>
        <v>28786461</v>
      </c>
      <c r="D54" s="136">
        <f>'[1]Analítico Septiembre'!S10+'[1]Analítico Septiembre'!S38+'[1]Analítico Septiembre'!S103-Septiembre!D102</f>
        <v>28786461</v>
      </c>
      <c r="E54" s="136">
        <f>'[1]Analítico Septiembre'!T10+'[1]Analítico Septiembre'!T38+'[1]Analítico Septiembre'!T103-Septiembre!E102</f>
        <v>20145749</v>
      </c>
      <c r="F54" s="136">
        <f>'[1]Analítico Septiembre'!V10+'[1]Analítico Septiembre'!V38+'[1]Analítico Septiembre'!V103-Septiembre!F102</f>
        <v>14752415.810000002</v>
      </c>
      <c r="G54" s="179">
        <f>+D54-C54</f>
        <v>0</v>
      </c>
      <c r="H54" s="181">
        <f>+E54-F54</f>
        <v>5393333.1899999976</v>
      </c>
      <c r="I54" s="179">
        <f>+F54/E54*100</f>
        <v>73.228430523978048</v>
      </c>
      <c r="J54" s="84">
        <v>24869.200000000001</v>
      </c>
      <c r="K54" s="84">
        <v>19941.8</v>
      </c>
      <c r="L54" s="84">
        <f t="shared" ref="L54:L59" si="0">+J54-K54</f>
        <v>4927.4000000000015</v>
      </c>
      <c r="M54" s="84"/>
      <c r="N54" s="84"/>
    </row>
    <row r="55" spans="1:14" ht="21" x14ac:dyDescent="0.35">
      <c r="A55" s="108"/>
      <c r="B55" s="109" t="s">
        <v>91</v>
      </c>
      <c r="C55" s="136">
        <f>+'[1]Analítico Septiembre'!R16+'[1]Analítico Septiembre'!R57+'[1]Analítico Septiembre'!R123</f>
        <v>1635100</v>
      </c>
      <c r="D55" s="136">
        <f>+'[1]Analítico Septiembre'!S16+'[1]Analítico Septiembre'!S57+'[1]Analítico Septiembre'!S123</f>
        <v>1635100</v>
      </c>
      <c r="E55" s="136">
        <f>+'[1]Analítico Septiembre'!T16+'[1]Analítico Septiembre'!T57+'[1]Analítico Septiembre'!T123</f>
        <v>1468954</v>
      </c>
      <c r="F55" s="136">
        <f>+'[1]Analítico Septiembre'!V16+'[1]Analítico Septiembre'!V57+'[1]Analítico Septiembre'!V123</f>
        <v>951680.6399999999</v>
      </c>
      <c r="G55" s="179">
        <f>+D55-C55</f>
        <v>0</v>
      </c>
      <c r="H55" s="181">
        <f>+E55-F55</f>
        <v>517273.3600000001</v>
      </c>
      <c r="I55" s="179">
        <f>+F55/E55*100</f>
        <v>64.786279216367561</v>
      </c>
      <c r="J55" s="84">
        <v>1461.7</v>
      </c>
      <c r="K55" s="84">
        <v>593.29999999999995</v>
      </c>
      <c r="L55" s="84">
        <f t="shared" si="0"/>
        <v>868.40000000000009</v>
      </c>
      <c r="M55" s="84"/>
      <c r="N55" s="84"/>
    </row>
    <row r="56" spans="1:14" ht="21" x14ac:dyDescent="0.35">
      <c r="A56" s="108"/>
      <c r="B56" s="109" t="s">
        <v>92</v>
      </c>
      <c r="C56" s="136">
        <f>+'[1]Analítico Septiembre'!R12+'[1]Analítico Septiembre'!R19+'[1]Analítico Septiembre'!S79+'[1]Analítico Septiembre'!R151</f>
        <v>31489531</v>
      </c>
      <c r="D56" s="136">
        <f>'[1]Analítico Septiembre'!S12+'[1]Analítico Septiembre'!S19+'[1]Analítico Septiembre'!S79+'[1]Analítico Septiembre'!S151-D104</f>
        <v>31469531</v>
      </c>
      <c r="E56" s="136">
        <f>+'[1]Analítico Septiembre'!T12+'[1]Analítico Septiembre'!T19+'[1]Analítico Septiembre'!T79+'[1]Analítico Septiembre'!T151-E104</f>
        <v>23400344</v>
      </c>
      <c r="F56" s="136">
        <f>+'[1]Analítico Septiembre'!V12+'[1]Analítico Septiembre'!V19+'[1]Analítico Septiembre'!V79+'[1]Analítico Septiembre'!V151-F104</f>
        <v>16177736.350000001</v>
      </c>
      <c r="G56" s="179">
        <f>+D56-C56</f>
        <v>-20000</v>
      </c>
      <c r="H56" s="181">
        <f>+E56-F56</f>
        <v>7222607.6499999985</v>
      </c>
      <c r="I56" s="179">
        <f>+F56/E56*100</f>
        <v>69.134609089507407</v>
      </c>
      <c r="J56" s="182"/>
      <c r="K56" s="179"/>
      <c r="L56" s="84">
        <f t="shared" si="0"/>
        <v>0</v>
      </c>
      <c r="M56" s="84"/>
      <c r="N56" s="84"/>
    </row>
    <row r="57" spans="1:14" ht="39" customHeight="1" x14ac:dyDescent="0.35">
      <c r="A57" s="108"/>
      <c r="B57" s="137" t="s">
        <v>93</v>
      </c>
      <c r="C57" s="136"/>
      <c r="D57" s="136"/>
      <c r="E57" s="136"/>
      <c r="F57" s="136"/>
      <c r="G57" s="178"/>
      <c r="H57" s="181"/>
      <c r="I57" s="179"/>
      <c r="J57" s="84"/>
      <c r="K57" s="84"/>
      <c r="L57" s="84">
        <f t="shared" si="0"/>
        <v>0</v>
      </c>
      <c r="M57" s="84"/>
      <c r="N57" s="84"/>
    </row>
    <row r="58" spans="1:14" ht="21" x14ac:dyDescent="0.35">
      <c r="A58" s="108"/>
      <c r="B58" s="106"/>
      <c r="C58" s="136"/>
      <c r="D58" s="136"/>
      <c r="E58" s="136"/>
      <c r="F58" s="136"/>
      <c r="G58" s="178"/>
      <c r="H58" s="181"/>
      <c r="I58" s="179"/>
      <c r="J58" s="84"/>
      <c r="K58" s="84"/>
      <c r="L58" s="84">
        <f t="shared" si="0"/>
        <v>0</v>
      </c>
      <c r="M58" s="84"/>
      <c r="N58" s="84"/>
    </row>
    <row r="59" spans="1:14" ht="21" x14ac:dyDescent="0.35">
      <c r="A59" s="102" t="s">
        <v>94</v>
      </c>
      <c r="B59" s="106"/>
      <c r="C59" s="136">
        <f>SUM(C61:C62)</f>
        <v>0</v>
      </c>
      <c r="D59" s="136">
        <f>SUM(D61:D62)</f>
        <v>1133000</v>
      </c>
      <c r="E59" s="136">
        <f>SUM(E61:E62)</f>
        <v>1133000</v>
      </c>
      <c r="F59" s="136">
        <f>SUM(F61:F62)</f>
        <v>0</v>
      </c>
      <c r="G59" s="178">
        <f>+D59-C59</f>
        <v>1133000</v>
      </c>
      <c r="H59" s="181">
        <f>+E59-F59</f>
        <v>1133000</v>
      </c>
      <c r="I59" s="184">
        <f>+F59/E59*100</f>
        <v>0</v>
      </c>
      <c r="J59" s="84"/>
      <c r="K59" s="84"/>
      <c r="L59" s="84">
        <f t="shared" si="0"/>
        <v>0</v>
      </c>
      <c r="M59" s="84"/>
      <c r="N59" s="84"/>
    </row>
    <row r="60" spans="1:14" ht="21" x14ac:dyDescent="0.35">
      <c r="A60" s="108"/>
      <c r="B60" s="106"/>
      <c r="C60" s="136"/>
      <c r="D60" s="136"/>
      <c r="E60" s="136"/>
      <c r="F60" s="136"/>
      <c r="G60" s="178"/>
      <c r="H60" s="181"/>
      <c r="I60" s="179"/>
      <c r="J60" s="84"/>
      <c r="K60" s="84"/>
      <c r="L60" s="84"/>
      <c r="M60" s="84"/>
      <c r="N60" s="84"/>
    </row>
    <row r="61" spans="1:14" ht="21" x14ac:dyDescent="0.35">
      <c r="A61" s="108"/>
      <c r="B61" s="109" t="s">
        <v>95</v>
      </c>
      <c r="C61" s="136">
        <v>0</v>
      </c>
      <c r="D61" s="136">
        <f>'[1]Analítico Septiembre'!S158</f>
        <v>1133000</v>
      </c>
      <c r="E61" s="136">
        <f>'[1]Analítico Septiembre'!T158</f>
        <v>1133000</v>
      </c>
      <c r="F61" s="136">
        <f>'[1]Analítico Septiembre'!V158</f>
        <v>0</v>
      </c>
      <c r="G61" s="178">
        <f>+D61-C61</f>
        <v>1133000</v>
      </c>
      <c r="H61" s="181">
        <f>+E61-F61</f>
        <v>1133000</v>
      </c>
      <c r="I61" s="179">
        <f>+F61/E61*100</f>
        <v>0</v>
      </c>
      <c r="J61" s="84"/>
      <c r="K61" s="84"/>
      <c r="L61" s="84"/>
      <c r="M61" s="84"/>
      <c r="N61" s="84"/>
    </row>
    <row r="62" spans="1:14" ht="21" x14ac:dyDescent="0.35">
      <c r="A62" s="108"/>
      <c r="B62" s="109" t="s">
        <v>96</v>
      </c>
      <c r="C62" s="138">
        <v>0</v>
      </c>
      <c r="D62" s="138">
        <v>0</v>
      </c>
      <c r="E62" s="138">
        <v>0</v>
      </c>
      <c r="F62" s="138">
        <v>0</v>
      </c>
      <c r="G62" s="178"/>
      <c r="H62" s="181"/>
      <c r="I62" s="179"/>
      <c r="J62" s="84"/>
      <c r="K62" s="84"/>
      <c r="L62" s="84"/>
      <c r="M62" s="84"/>
      <c r="N62" s="84"/>
    </row>
    <row r="63" spans="1:14" ht="21" x14ac:dyDescent="0.35">
      <c r="A63" s="108"/>
      <c r="B63" s="106"/>
      <c r="C63" s="136"/>
      <c r="D63" s="136"/>
      <c r="E63" s="136"/>
      <c r="F63" s="136"/>
      <c r="G63" s="178"/>
      <c r="H63" s="181"/>
      <c r="I63" s="179"/>
      <c r="J63" s="84"/>
      <c r="K63" s="84"/>
      <c r="L63" s="84"/>
      <c r="M63" s="84"/>
      <c r="N63" s="84"/>
    </row>
    <row r="64" spans="1:14" ht="21" x14ac:dyDescent="0.35">
      <c r="A64" s="102" t="s">
        <v>97</v>
      </c>
      <c r="B64" s="106"/>
      <c r="C64" s="136">
        <f>+C66</f>
        <v>0</v>
      </c>
      <c r="D64" s="136">
        <f>+D66</f>
        <v>0</v>
      </c>
      <c r="E64" s="136">
        <f>+E66</f>
        <v>0</v>
      </c>
      <c r="F64" s="136">
        <f>+F66</f>
        <v>0</v>
      </c>
      <c r="G64" s="178"/>
      <c r="H64" s="181"/>
      <c r="I64" s="179"/>
      <c r="J64" s="84"/>
      <c r="K64" s="84"/>
      <c r="L64" s="84"/>
      <c r="M64" s="84"/>
      <c r="N64" s="84"/>
    </row>
    <row r="65" spans="1:14" ht="21" x14ac:dyDescent="0.35">
      <c r="A65" s="108"/>
      <c r="B65" s="106"/>
      <c r="C65" s="136"/>
      <c r="D65" s="136"/>
      <c r="E65" s="136"/>
      <c r="F65" s="136"/>
      <c r="G65" s="178"/>
      <c r="H65" s="181"/>
      <c r="I65" s="179"/>
      <c r="J65" s="84"/>
      <c r="K65" s="84"/>
      <c r="L65" s="84"/>
      <c r="M65" s="84"/>
      <c r="N65" s="84"/>
    </row>
    <row r="66" spans="1:14" ht="21" x14ac:dyDescent="0.35">
      <c r="A66" s="108"/>
      <c r="B66" s="109" t="s">
        <v>98</v>
      </c>
      <c r="C66" s="138">
        <v>0</v>
      </c>
      <c r="D66" s="138">
        <v>0</v>
      </c>
      <c r="E66" s="138">
        <v>0</v>
      </c>
      <c r="F66" s="138">
        <v>0</v>
      </c>
      <c r="G66" s="178"/>
      <c r="H66" s="181"/>
      <c r="I66" s="179"/>
      <c r="J66" s="84"/>
      <c r="K66" s="84"/>
      <c r="L66" s="84"/>
      <c r="M66" s="84"/>
      <c r="N66" s="84"/>
    </row>
    <row r="67" spans="1:14" ht="21" x14ac:dyDescent="0.35">
      <c r="A67" s="108"/>
      <c r="B67" s="106"/>
      <c r="C67" s="136"/>
      <c r="D67" s="136"/>
      <c r="E67" s="136"/>
      <c r="F67" s="136"/>
      <c r="G67" s="178"/>
      <c r="H67" s="181"/>
      <c r="I67" s="179"/>
      <c r="J67" s="84"/>
      <c r="K67" s="84"/>
      <c r="L67" s="84"/>
      <c r="M67" s="84"/>
      <c r="N67" s="84"/>
    </row>
    <row r="68" spans="1:14" ht="21" x14ac:dyDescent="0.35">
      <c r="A68" s="102" t="s">
        <v>99</v>
      </c>
      <c r="B68" s="106"/>
      <c r="C68" s="136">
        <f>SUM(C70:C71)</f>
        <v>0</v>
      </c>
      <c r="D68" s="136">
        <f>SUM(D70:D71)</f>
        <v>0</v>
      </c>
      <c r="E68" s="136">
        <f>SUM(E70:E71)</f>
        <v>0</v>
      </c>
      <c r="F68" s="136">
        <f>SUM(F70:F71)</f>
        <v>0</v>
      </c>
      <c r="G68" s="178"/>
      <c r="H68" s="181"/>
      <c r="I68" s="179"/>
      <c r="J68" s="84"/>
      <c r="K68" s="84"/>
      <c r="L68" s="84"/>
      <c r="M68" s="84"/>
      <c r="N68" s="84"/>
    </row>
    <row r="69" spans="1:14" ht="21" x14ac:dyDescent="0.35">
      <c r="A69" s="108"/>
      <c r="B69" s="109" t="s">
        <v>100</v>
      </c>
      <c r="C69" s="138">
        <v>0</v>
      </c>
      <c r="D69" s="138">
        <v>0</v>
      </c>
      <c r="E69" s="138">
        <v>0</v>
      </c>
      <c r="F69" s="138">
        <v>0</v>
      </c>
      <c r="G69" s="178"/>
      <c r="H69" s="181"/>
      <c r="I69" s="179"/>
      <c r="J69" s="84"/>
      <c r="K69" s="84"/>
      <c r="L69" s="84"/>
      <c r="M69" s="84"/>
      <c r="N69" s="84"/>
    </row>
    <row r="70" spans="1:14" ht="21" x14ac:dyDescent="0.35">
      <c r="A70" s="108"/>
      <c r="B70" s="109" t="s">
        <v>101</v>
      </c>
      <c r="C70" s="138">
        <v>0</v>
      </c>
      <c r="D70" s="138">
        <v>0</v>
      </c>
      <c r="E70" s="138">
        <v>0</v>
      </c>
      <c r="F70" s="138">
        <v>0</v>
      </c>
      <c r="G70" s="178"/>
      <c r="H70" s="181"/>
      <c r="I70" s="179"/>
      <c r="J70" s="84"/>
      <c r="K70" s="84"/>
      <c r="L70" s="84"/>
      <c r="M70" s="84"/>
      <c r="N70" s="84"/>
    </row>
    <row r="71" spans="1:14" ht="30" customHeight="1" x14ac:dyDescent="0.35">
      <c r="A71" s="139"/>
      <c r="B71" s="140" t="s">
        <v>102</v>
      </c>
      <c r="C71" s="141">
        <v>0</v>
      </c>
      <c r="D71" s="141">
        <v>0</v>
      </c>
      <c r="E71" s="141">
        <v>0</v>
      </c>
      <c r="F71" s="141">
        <v>0</v>
      </c>
      <c r="G71" s="178"/>
      <c r="H71" s="181"/>
      <c r="I71" s="179"/>
      <c r="J71" s="84"/>
      <c r="K71" s="84"/>
      <c r="L71" s="84"/>
      <c r="M71" s="84"/>
      <c r="N71" s="84"/>
    </row>
    <row r="72" spans="1:14" ht="21" hidden="1" x14ac:dyDescent="0.35">
      <c r="A72" s="123"/>
      <c r="B72" s="123"/>
      <c r="C72" s="142"/>
      <c r="D72" s="142"/>
      <c r="E72" s="142"/>
      <c r="F72" s="142"/>
      <c r="G72" s="178"/>
      <c r="H72" s="181"/>
      <c r="I72" s="179"/>
      <c r="J72" s="84"/>
      <c r="K72" s="84"/>
      <c r="L72" s="84"/>
      <c r="M72" s="84"/>
      <c r="N72" s="84"/>
    </row>
    <row r="73" spans="1:14" ht="21" hidden="1" x14ac:dyDescent="0.35">
      <c r="A73" s="143" t="s">
        <v>103</v>
      </c>
      <c r="B73" s="144"/>
      <c r="C73" s="145" t="e">
        <f>SUM(C75+C82+C87+C91)</f>
        <v>#REF!</v>
      </c>
      <c r="D73" s="145" t="e">
        <f>SUM(D75+D82+D87+D91)</f>
        <v>#REF!</v>
      </c>
      <c r="E73" s="145" t="e">
        <f>SUM(E75+E82+E87+E91)</f>
        <v>#REF!</v>
      </c>
      <c r="F73" s="145" t="e">
        <f>SUM(F75+F82+F87+F91)</f>
        <v>#REF!</v>
      </c>
      <c r="G73" s="178"/>
      <c r="H73" s="181"/>
      <c r="I73" s="179"/>
      <c r="J73" s="84"/>
      <c r="K73" s="84"/>
      <c r="L73" s="84"/>
      <c r="M73" s="84"/>
      <c r="N73" s="84"/>
    </row>
    <row r="74" spans="1:14" ht="21" hidden="1" x14ac:dyDescent="0.35">
      <c r="A74" s="102"/>
      <c r="B74" s="106"/>
      <c r="C74" s="136"/>
      <c r="D74" s="136"/>
      <c r="E74" s="136"/>
      <c r="F74" s="136"/>
      <c r="G74" s="178"/>
      <c r="H74" s="181"/>
      <c r="I74" s="179"/>
      <c r="J74" s="84"/>
      <c r="K74" s="84"/>
      <c r="L74" s="84"/>
      <c r="M74" s="84"/>
      <c r="N74" s="84"/>
    </row>
    <row r="75" spans="1:14" ht="21" hidden="1" x14ac:dyDescent="0.35">
      <c r="A75" s="102" t="s">
        <v>89</v>
      </c>
      <c r="B75" s="106"/>
      <c r="C75" s="136" t="e">
        <f>SUM(C77:C80)</f>
        <v>#REF!</v>
      </c>
      <c r="D75" s="136" t="e">
        <f>SUM(D77:D80)</f>
        <v>#REF!</v>
      </c>
      <c r="E75" s="136" t="e">
        <f>SUM(E77:E80)</f>
        <v>#REF!</v>
      </c>
      <c r="F75" s="136" t="e">
        <f>SUM(F77:F80)</f>
        <v>#REF!</v>
      </c>
      <c r="G75" s="178"/>
      <c r="H75" s="181"/>
      <c r="I75" s="179"/>
      <c r="J75" s="84"/>
      <c r="K75" s="84"/>
      <c r="L75" s="84"/>
      <c r="M75" s="84"/>
      <c r="N75" s="84"/>
    </row>
    <row r="76" spans="1:14" ht="21" hidden="1" x14ac:dyDescent="0.35">
      <c r="A76" s="108"/>
      <c r="B76" s="106"/>
      <c r="C76" s="136"/>
      <c r="D76" s="136"/>
      <c r="E76" s="136"/>
      <c r="F76" s="136"/>
      <c r="G76" s="178"/>
      <c r="H76" s="181"/>
      <c r="I76" s="179"/>
      <c r="J76" s="84"/>
      <c r="K76" s="84"/>
      <c r="L76" s="84"/>
      <c r="M76" s="84"/>
      <c r="N76" s="84"/>
    </row>
    <row r="77" spans="1:14" ht="21" hidden="1" x14ac:dyDescent="0.35">
      <c r="A77" s="108"/>
      <c r="B77" s="106" t="s">
        <v>90</v>
      </c>
      <c r="C77" s="138" t="e">
        <f t="array" ref="C77">SUM(IF(#REF!=1,IF(#REF!=4,#REF!)))</f>
        <v>#REF!</v>
      </c>
      <c r="D77" s="138" t="e">
        <f t="array" ref="D77">SUM(IF(#REF!=1,IF(#REF!=4,#REF!)))</f>
        <v>#REF!</v>
      </c>
      <c r="E77" s="138" t="e">
        <f t="array" ref="E77">SUM(IF(#REF!=1,IF(#REF!=4,#REF!)))</f>
        <v>#REF!</v>
      </c>
      <c r="F77" s="138" t="e">
        <f t="array" ref="F77">SUM(IF(#REF!=1,IF(#REF!=4,#REF!)))</f>
        <v>#REF!</v>
      </c>
      <c r="G77" s="178"/>
      <c r="H77" s="181"/>
      <c r="I77" s="179"/>
      <c r="J77" s="84"/>
      <c r="K77" s="84"/>
      <c r="L77" s="84"/>
      <c r="M77" s="84"/>
      <c r="N77" s="84"/>
    </row>
    <row r="78" spans="1:14" ht="21" hidden="1" x14ac:dyDescent="0.35">
      <c r="A78" s="108"/>
      <c r="B78" s="106" t="s">
        <v>91</v>
      </c>
      <c r="C78" s="138" t="e">
        <f t="array" ref="C78">SUM(IF(#REF!=2,IF(#REF!=4,#REF!)))</f>
        <v>#REF!</v>
      </c>
      <c r="D78" s="138" t="e">
        <f t="array" ref="D78">SUM(IF(#REF!=2,IF(#REF!=4,#REF!)))</f>
        <v>#REF!</v>
      </c>
      <c r="E78" s="138" t="e">
        <f t="array" ref="E78">SUM(IF(#REF!=2,IF(#REF!=4,#REF!)))</f>
        <v>#REF!</v>
      </c>
      <c r="F78" s="138" t="e">
        <f t="array" ref="F78">SUM(IF(#REF!=2,IF(#REF!=4,#REF!)))</f>
        <v>#REF!</v>
      </c>
      <c r="G78" s="178"/>
      <c r="H78" s="181"/>
      <c r="I78" s="179"/>
      <c r="J78" s="84"/>
      <c r="K78" s="84"/>
      <c r="L78" s="84"/>
      <c r="M78" s="84"/>
      <c r="N78" s="84"/>
    </row>
    <row r="79" spans="1:14" ht="21" hidden="1" x14ac:dyDescent="0.35">
      <c r="A79" s="108"/>
      <c r="B79" s="106" t="s">
        <v>92</v>
      </c>
      <c r="C79" s="138" t="e">
        <f t="array" ref="C79">SUM(IF(#REF!=3,IF(#REF!=4,#REF!)))</f>
        <v>#REF!</v>
      </c>
      <c r="D79" s="138" t="e">
        <f t="array" ref="D79">SUM(IF(#REF!=3,IF(#REF!=4,#REF!)))</f>
        <v>#REF!</v>
      </c>
      <c r="E79" s="138" t="e">
        <f t="array" ref="E79">SUM(IF(#REF!=3,IF(#REF!=4,#REF!)))</f>
        <v>#REF!</v>
      </c>
      <c r="F79" s="138" t="e">
        <f t="array" ref="F79">SUM(IF(#REF!=3,IF(#REF!=4,#REF!)))</f>
        <v>#REF!</v>
      </c>
      <c r="G79" s="178"/>
      <c r="H79" s="181"/>
      <c r="I79" s="179"/>
      <c r="J79" s="84"/>
      <c r="K79" s="84"/>
      <c r="L79" s="84"/>
      <c r="M79" s="84"/>
      <c r="N79" s="84"/>
    </row>
    <row r="80" spans="1:14" ht="21" hidden="1" x14ac:dyDescent="0.35">
      <c r="A80" s="108"/>
      <c r="B80" s="106" t="s">
        <v>104</v>
      </c>
      <c r="C80" s="138" t="e">
        <f t="array" ref="C80">SUM(IF(#REF!=4,IF(#REF!=4,#REF!)))</f>
        <v>#REF!</v>
      </c>
      <c r="D80" s="138" t="e">
        <f t="array" ref="D80">SUM(IF(#REF!=4,IF(#REF!=4,#REF!)))</f>
        <v>#REF!</v>
      </c>
      <c r="E80" s="138" t="e">
        <f t="array" ref="E80">SUM(IF(#REF!=4,IF(#REF!=4,#REF!)))</f>
        <v>#REF!</v>
      </c>
      <c r="F80" s="138" t="e">
        <f t="array" ref="F80">SUM(IF(#REF!=4,IF(#REF!=4,#REF!)))</f>
        <v>#REF!</v>
      </c>
      <c r="G80" s="178"/>
      <c r="H80" s="181"/>
      <c r="I80" s="179"/>
      <c r="J80" s="84"/>
      <c r="K80" s="84"/>
      <c r="L80" s="84"/>
      <c r="M80" s="84"/>
      <c r="N80" s="84"/>
    </row>
    <row r="81" spans="1:14" ht="21" hidden="1" x14ac:dyDescent="0.35">
      <c r="A81" s="108"/>
      <c r="B81" s="106"/>
      <c r="C81" s="136"/>
      <c r="D81" s="136"/>
      <c r="E81" s="136"/>
      <c r="F81" s="136"/>
      <c r="G81" s="178"/>
      <c r="H81" s="181"/>
      <c r="I81" s="179"/>
      <c r="J81" s="84"/>
      <c r="K81" s="84"/>
      <c r="L81" s="84"/>
      <c r="M81" s="84"/>
      <c r="N81" s="84"/>
    </row>
    <row r="82" spans="1:14" ht="21" hidden="1" x14ac:dyDescent="0.35">
      <c r="A82" s="102" t="s">
        <v>94</v>
      </c>
      <c r="B82" s="106"/>
      <c r="C82" s="136" t="e">
        <f>SUM(C84:C85)</f>
        <v>#REF!</v>
      </c>
      <c r="D82" s="136" t="e">
        <f>SUM(D84:D85)</f>
        <v>#REF!</v>
      </c>
      <c r="E82" s="136" t="e">
        <f>SUM(E84:E85)</f>
        <v>#REF!</v>
      </c>
      <c r="F82" s="136" t="e">
        <f>SUM(F84:F85)</f>
        <v>#REF!</v>
      </c>
      <c r="G82" s="178"/>
      <c r="H82" s="181"/>
      <c r="I82" s="179"/>
      <c r="J82" s="84"/>
      <c r="K82" s="84"/>
      <c r="L82" s="84"/>
      <c r="M82" s="84"/>
      <c r="N82" s="84"/>
    </row>
    <row r="83" spans="1:14" ht="21" hidden="1" x14ac:dyDescent="0.35">
      <c r="A83" s="108"/>
      <c r="B83" s="106"/>
      <c r="C83" s="136"/>
      <c r="D83" s="136"/>
      <c r="E83" s="136"/>
      <c r="F83" s="136"/>
      <c r="G83" s="178"/>
      <c r="H83" s="181"/>
      <c r="I83" s="179"/>
      <c r="J83" s="84"/>
      <c r="K83" s="84"/>
      <c r="L83" s="84"/>
      <c r="M83" s="84"/>
      <c r="N83" s="84"/>
    </row>
    <row r="84" spans="1:14" ht="21" hidden="1" x14ac:dyDescent="0.35">
      <c r="A84" s="108"/>
      <c r="B84" s="106" t="s">
        <v>105</v>
      </c>
      <c r="C84" s="138" t="e">
        <f t="array" ref="C84">SUM(IF(#REF!=5,IF(#REF!=4,#REF!)))</f>
        <v>#REF!</v>
      </c>
      <c r="D84" s="138" t="e">
        <f t="array" ref="D84">SUM(IF(#REF!=5,IF(#REF!=4,#REF!)))</f>
        <v>#REF!</v>
      </c>
      <c r="E84" s="138" t="e">
        <f t="array" ref="E84">SUM(IF(#REF!=5,IF(#REF!=4,#REF!)))</f>
        <v>#REF!</v>
      </c>
      <c r="F84" s="138" t="e">
        <f t="array" ref="F84">SUM(IF(#REF!=5,IF(#REF!=4,#REF!)))</f>
        <v>#REF!</v>
      </c>
      <c r="G84" s="178"/>
      <c r="H84" s="181"/>
      <c r="I84" s="179"/>
      <c r="J84" s="84"/>
      <c r="K84" s="84"/>
      <c r="L84" s="84"/>
      <c r="M84" s="84"/>
      <c r="N84" s="84"/>
    </row>
    <row r="85" spans="1:14" ht="21" hidden="1" x14ac:dyDescent="0.35">
      <c r="A85" s="108"/>
      <c r="B85" s="106" t="s">
        <v>96</v>
      </c>
      <c r="C85" s="138" t="e">
        <f t="array" ref="C85">SUM(IF(#REF!=6,IF(#REF!=4,#REF!)))</f>
        <v>#REF!</v>
      </c>
      <c r="D85" s="138" t="e">
        <f t="array" ref="D85">SUM(IF(#REF!=6,IF(#REF!=4,#REF!)))</f>
        <v>#REF!</v>
      </c>
      <c r="E85" s="138" t="e">
        <f t="array" ref="E85">SUM(IF(#REF!=6,IF(#REF!=4,#REF!)))</f>
        <v>#REF!</v>
      </c>
      <c r="F85" s="138" t="e">
        <f t="array" ref="F85">SUM(IF(#REF!=6,IF(#REF!=4,#REF!)))</f>
        <v>#REF!</v>
      </c>
      <c r="G85" s="178"/>
      <c r="H85" s="181"/>
      <c r="I85" s="179"/>
      <c r="J85" s="84"/>
      <c r="K85" s="84"/>
      <c r="L85" s="84"/>
      <c r="M85" s="84"/>
      <c r="N85" s="84"/>
    </row>
    <row r="86" spans="1:14" ht="21" hidden="1" x14ac:dyDescent="0.35">
      <c r="A86" s="108"/>
      <c r="B86" s="106"/>
      <c r="C86" s="136"/>
      <c r="D86" s="136"/>
      <c r="E86" s="136"/>
      <c r="F86" s="136"/>
      <c r="G86" s="178"/>
      <c r="H86" s="181"/>
      <c r="I86" s="179"/>
      <c r="J86" s="84"/>
      <c r="K86" s="84"/>
      <c r="L86" s="84"/>
      <c r="M86" s="84"/>
      <c r="N86" s="84"/>
    </row>
    <row r="87" spans="1:14" ht="21" hidden="1" x14ac:dyDescent="0.35">
      <c r="A87" s="102" t="s">
        <v>97</v>
      </c>
      <c r="B87" s="106"/>
      <c r="C87" s="136" t="e">
        <f>+C89</f>
        <v>#REF!</v>
      </c>
      <c r="D87" s="136" t="e">
        <f>+D89</f>
        <v>#REF!</v>
      </c>
      <c r="E87" s="136" t="e">
        <f>+E89</f>
        <v>#REF!</v>
      </c>
      <c r="F87" s="136" t="e">
        <f>+F89</f>
        <v>#REF!</v>
      </c>
      <c r="G87" s="178"/>
      <c r="H87" s="181"/>
      <c r="I87" s="179"/>
      <c r="J87" s="84"/>
      <c r="K87" s="84"/>
      <c r="L87" s="84"/>
      <c r="M87" s="84"/>
      <c r="N87" s="84"/>
    </row>
    <row r="88" spans="1:14" ht="21" hidden="1" x14ac:dyDescent="0.35">
      <c r="A88" s="102"/>
      <c r="B88" s="106"/>
      <c r="C88" s="136"/>
      <c r="D88" s="136"/>
      <c r="E88" s="136"/>
      <c r="F88" s="136"/>
      <c r="G88" s="178"/>
      <c r="H88" s="181"/>
      <c r="I88" s="179"/>
      <c r="J88" s="84"/>
      <c r="K88" s="84"/>
      <c r="L88" s="84"/>
      <c r="M88" s="84"/>
      <c r="N88" s="84"/>
    </row>
    <row r="89" spans="1:14" ht="21" hidden="1" x14ac:dyDescent="0.35">
      <c r="A89" s="108"/>
      <c r="B89" s="106" t="s">
        <v>106</v>
      </c>
      <c r="C89" s="138" t="e">
        <f t="array" ref="C89">SUM(IF(#REF!=7,IF(#REF!=4,#REF!)))</f>
        <v>#REF!</v>
      </c>
      <c r="D89" s="138" t="e">
        <f t="array" ref="D89">SUM(IF(#REF!=7,IF(#REF!=4,#REF!)))</f>
        <v>#REF!</v>
      </c>
      <c r="E89" s="138" t="e">
        <f t="array" ref="E89">SUM(IF(#REF!=7,IF(#REF!=4,#REF!)))</f>
        <v>#REF!</v>
      </c>
      <c r="F89" s="138" t="e">
        <f t="array" ref="F89">SUM(IF(#REF!=7,IF(#REF!=4,#REF!)))</f>
        <v>#REF!</v>
      </c>
      <c r="G89" s="178"/>
      <c r="H89" s="181"/>
      <c r="I89" s="179"/>
      <c r="J89" s="84"/>
      <c r="K89" s="84"/>
      <c r="L89" s="84"/>
      <c r="M89" s="84"/>
      <c r="N89" s="84"/>
    </row>
    <row r="90" spans="1:14" ht="21" hidden="1" x14ac:dyDescent="0.35">
      <c r="A90" s="102"/>
      <c r="B90" s="106"/>
      <c r="C90" s="136"/>
      <c r="D90" s="136"/>
      <c r="E90" s="136"/>
      <c r="F90" s="136"/>
      <c r="G90" s="178"/>
      <c r="H90" s="181"/>
      <c r="I90" s="179"/>
      <c r="J90" s="84"/>
      <c r="K90" s="84"/>
      <c r="L90" s="84"/>
      <c r="M90" s="84"/>
      <c r="N90" s="84"/>
    </row>
    <row r="91" spans="1:14" ht="21" hidden="1" x14ac:dyDescent="0.35">
      <c r="A91" s="102" t="s">
        <v>99</v>
      </c>
      <c r="B91" s="106"/>
      <c r="C91" s="136" t="e">
        <f>SUM(C93:C94)</f>
        <v>#REF!</v>
      </c>
      <c r="D91" s="136" t="e">
        <f>SUM(D93:D94)</f>
        <v>#REF!</v>
      </c>
      <c r="E91" s="136" t="e">
        <f>SUM(E93:E94)</f>
        <v>#REF!</v>
      </c>
      <c r="F91" s="136" t="e">
        <f>SUM(F93:F94)</f>
        <v>#REF!</v>
      </c>
      <c r="G91" s="178"/>
      <c r="H91" s="181"/>
      <c r="I91" s="179"/>
      <c r="J91" s="84"/>
      <c r="K91" s="84"/>
      <c r="L91" s="84"/>
      <c r="M91" s="84"/>
      <c r="N91" s="84"/>
    </row>
    <row r="92" spans="1:14" ht="21" hidden="1" x14ac:dyDescent="0.35">
      <c r="A92" s="108"/>
      <c r="B92" s="106"/>
      <c r="C92" s="136"/>
      <c r="D92" s="136"/>
      <c r="E92" s="136"/>
      <c r="F92" s="136"/>
      <c r="G92" s="178"/>
      <c r="H92" s="181"/>
      <c r="I92" s="179"/>
      <c r="J92" s="84"/>
      <c r="K92" s="84"/>
      <c r="L92" s="84"/>
      <c r="M92" s="84"/>
      <c r="N92" s="84"/>
    </row>
    <row r="93" spans="1:14" ht="21" hidden="1" x14ac:dyDescent="0.35">
      <c r="A93" s="108"/>
      <c r="B93" s="106" t="s">
        <v>100</v>
      </c>
      <c r="C93" s="138" t="e">
        <f t="array" ref="C93">SUM(IF(#REF!=9101,IF(#REF!=4,#REF!)))</f>
        <v>#REF!</v>
      </c>
      <c r="D93" s="138" t="e">
        <f t="array" ref="D93">SUM(IF(#REF!=9101,IF(#REF!=4,#REF!)))</f>
        <v>#REF!</v>
      </c>
      <c r="E93" s="138" t="e">
        <f t="array" ref="E93">SUM(IF(#REF!=9101,IF(#REF!=4,#REF!)))</f>
        <v>#REF!</v>
      </c>
      <c r="F93" s="138" t="e">
        <f t="array" ref="F93">SUM(IF(#REF!=9101,IF(#REF!=4,#REF!)))</f>
        <v>#REF!</v>
      </c>
      <c r="G93" s="178"/>
      <c r="H93" s="181"/>
      <c r="I93" s="179"/>
      <c r="J93" s="84"/>
      <c r="K93" s="84"/>
      <c r="L93" s="84"/>
      <c r="M93" s="84"/>
      <c r="N93" s="84"/>
    </row>
    <row r="94" spans="1:14" ht="21" hidden="1" x14ac:dyDescent="0.35">
      <c r="A94" s="139"/>
      <c r="B94" s="146" t="s">
        <v>101</v>
      </c>
      <c r="C94" s="141" t="e">
        <f t="array" ref="C94">SUM(IF(#REF!&gt;=9200,IF(#REF!=4,#REF!)))</f>
        <v>#REF!</v>
      </c>
      <c r="D94" s="141" t="e">
        <f t="array" ref="D94">SUM(IF(#REF!&gt;=9200,IF(#REF!=4,#REF!)))</f>
        <v>#REF!</v>
      </c>
      <c r="E94" s="141" t="e">
        <f t="array" ref="E94">SUM(IF(#REF!&gt;=9200,IF(#REF!=4,#REF!)))</f>
        <v>#REF!</v>
      </c>
      <c r="F94" s="141" t="e">
        <f t="array" ref="F94">SUM(IF(#REF!&gt;=9200,IF(#REF!=4,#REF!)))</f>
        <v>#REF!</v>
      </c>
      <c r="G94" s="178"/>
      <c r="H94" s="181"/>
      <c r="I94" s="179"/>
      <c r="J94" s="84"/>
      <c r="K94" s="84"/>
      <c r="L94" s="84"/>
      <c r="M94" s="84"/>
      <c r="N94" s="84"/>
    </row>
    <row r="95" spans="1:14" ht="6" customHeight="1" x14ac:dyDescent="0.35">
      <c r="A95" s="147"/>
      <c r="B95" s="147"/>
      <c r="C95" s="148"/>
      <c r="D95" s="148"/>
      <c r="E95" s="148"/>
      <c r="F95" s="148"/>
      <c r="G95" s="178"/>
      <c r="H95" s="181"/>
      <c r="I95" s="179"/>
      <c r="J95" s="84"/>
      <c r="K95" s="84"/>
      <c r="L95" s="84"/>
      <c r="M95" s="84"/>
      <c r="N95" s="84"/>
    </row>
    <row r="96" spans="1:14" ht="209.25" customHeight="1" thickBot="1" x14ac:dyDescent="0.3">
      <c r="A96" s="163" t="s">
        <v>107</v>
      </c>
      <c r="B96" s="163"/>
      <c r="C96" s="163"/>
      <c r="D96" s="163"/>
      <c r="E96" s="163"/>
      <c r="F96" s="163"/>
      <c r="G96" s="178"/>
      <c r="H96" s="185">
        <f>627.41+3923538.07</f>
        <v>3924165.48</v>
      </c>
      <c r="I96" s="179">
        <f>-982100-787200</f>
        <v>-1769300</v>
      </c>
      <c r="J96" s="180">
        <f>+H96+I96</f>
        <v>2154865.48</v>
      </c>
      <c r="K96" s="84"/>
      <c r="L96" s="84"/>
      <c r="M96" s="84"/>
      <c r="N96" s="84"/>
    </row>
    <row r="97" spans="1:14" ht="27" customHeight="1" thickBot="1" x14ac:dyDescent="0.3">
      <c r="A97" s="88" t="s">
        <v>67</v>
      </c>
      <c r="B97" s="126"/>
      <c r="C97" s="127" t="s">
        <v>68</v>
      </c>
      <c r="D97" s="128" t="s">
        <v>0</v>
      </c>
      <c r="E97" s="128" t="s">
        <v>69</v>
      </c>
      <c r="F97" s="128" t="s">
        <v>1</v>
      </c>
      <c r="G97" s="178"/>
      <c r="H97" s="185"/>
      <c r="I97" s="179"/>
      <c r="J97" s="180"/>
      <c r="K97" s="84"/>
      <c r="L97" s="84"/>
      <c r="M97" s="84"/>
      <c r="N97" s="84"/>
    </row>
    <row r="98" spans="1:14" ht="21" x14ac:dyDescent="0.35">
      <c r="A98" s="143" t="s">
        <v>108</v>
      </c>
      <c r="B98" s="144"/>
      <c r="C98" s="145">
        <f>SUM(C100+C107+C112+C116)</f>
        <v>26895056</v>
      </c>
      <c r="D98" s="145">
        <f>SUM(D100+D107+D112+D116)</f>
        <v>26895056</v>
      </c>
      <c r="E98" s="145">
        <f>SUM(E100+E107+E112+E116)</f>
        <v>17378224</v>
      </c>
      <c r="F98" s="145">
        <f>SUM(F100+F107+F112+F116)</f>
        <v>17378224</v>
      </c>
      <c r="G98" s="178">
        <f>+D98-C98</f>
        <v>0</v>
      </c>
      <c r="H98" s="181">
        <f>+E98-F98</f>
        <v>0</v>
      </c>
      <c r="I98" s="179">
        <f>+F98/E98*100</f>
        <v>100</v>
      </c>
      <c r="J98" s="84"/>
      <c r="K98" s="84"/>
      <c r="L98" s="84"/>
      <c r="M98" s="84"/>
      <c r="N98" s="84"/>
    </row>
    <row r="99" spans="1:14" ht="21" x14ac:dyDescent="0.35">
      <c r="A99" s="102"/>
      <c r="B99" s="106"/>
      <c r="C99" s="136"/>
      <c r="D99" s="136"/>
      <c r="E99" s="136"/>
      <c r="F99" s="136"/>
      <c r="G99" s="178"/>
      <c r="H99" s="181"/>
      <c r="I99" s="179"/>
      <c r="J99" s="84"/>
      <c r="K99" s="84"/>
      <c r="L99" s="84"/>
      <c r="M99" s="84"/>
      <c r="N99" s="84"/>
    </row>
    <row r="100" spans="1:14" ht="21" x14ac:dyDescent="0.35">
      <c r="A100" s="102" t="s">
        <v>89</v>
      </c>
      <c r="B100" s="106"/>
      <c r="C100" s="136">
        <f>SUM(C102:C105)</f>
        <v>26895056</v>
      </c>
      <c r="D100" s="136">
        <f t="shared" ref="D100:E100" si="1">SUM(D102:D105)</f>
        <v>26895056</v>
      </c>
      <c r="E100" s="136">
        <f t="shared" si="1"/>
        <v>17378224</v>
      </c>
      <c r="F100" s="136">
        <f>SUM(F102:F105)</f>
        <v>17378224</v>
      </c>
      <c r="G100" s="178">
        <f>+D100-C100</f>
        <v>0</v>
      </c>
      <c r="H100" s="181">
        <f>+E100-F100</f>
        <v>0</v>
      </c>
      <c r="I100" s="179">
        <f>+F100/E100*100</f>
        <v>100</v>
      </c>
      <c r="J100" s="84"/>
      <c r="K100" s="84"/>
      <c r="L100" s="84"/>
      <c r="M100" s="84"/>
      <c r="N100" s="84"/>
    </row>
    <row r="101" spans="1:14" ht="21" x14ac:dyDescent="0.35">
      <c r="A101" s="108"/>
      <c r="B101" s="106"/>
      <c r="C101" s="136"/>
      <c r="D101" s="136"/>
      <c r="E101" s="136"/>
      <c r="F101" s="136"/>
      <c r="G101" s="178"/>
      <c r="H101" s="181"/>
      <c r="I101" s="179"/>
      <c r="J101" s="84"/>
      <c r="K101" s="84"/>
      <c r="L101" s="84"/>
      <c r="M101" s="84"/>
      <c r="N101" s="84"/>
    </row>
    <row r="102" spans="1:14" ht="21" x14ac:dyDescent="0.35">
      <c r="A102" s="108"/>
      <c r="B102" s="109" t="s">
        <v>90</v>
      </c>
      <c r="C102" s="149">
        <f>'[1]Analítico Septiembre'!R22+'[1]Analítico Septiembre'!R25+'[1]Analítico Septiembre'!R37+'[1]Analítico Septiembre'!R82+'[1]Analítico Septiembre'!R88+'[1]Analítico Septiembre'!R102</f>
        <v>20895056</v>
      </c>
      <c r="D102" s="149">
        <f>'[1]Analítico Septiembre'!S22+'[1]Analítico Septiembre'!S25+'[1]Analítico Septiembre'!S37+'[1]Analítico Septiembre'!S82+'[1]Analítico Septiembre'!S88+'[1]Analítico Septiembre'!S102</f>
        <v>20895056</v>
      </c>
      <c r="E102" s="149">
        <f>'[1]Analítico Septiembre'!T22+'[1]Analítico Septiembre'!T25+'[1]Analítico Septiembre'!T37+'[1]Analítico Septiembre'!T82+'[1]Analítico Septiembre'!T88+'[1]Analítico Septiembre'!T102</f>
        <v>13014584</v>
      </c>
      <c r="F102" s="149">
        <f>'[1]Analítico Septiembre'!V22+'[1]Analítico Septiembre'!V25+'[1]Analítico Septiembre'!V37+'[1]Analítico Septiembre'!V82+'[1]Analítico Septiembre'!V88+ '[1]Analítico Septiembre'!V102</f>
        <v>13014584</v>
      </c>
      <c r="G102" s="178">
        <f>+D102-C102</f>
        <v>0</v>
      </c>
      <c r="H102" s="181">
        <f>+E102-F102</f>
        <v>0</v>
      </c>
      <c r="I102" s="179">
        <f>+F102/E102*100</f>
        <v>100</v>
      </c>
      <c r="J102" s="84"/>
      <c r="K102" s="84"/>
      <c r="L102" s="84"/>
      <c r="M102" s="84"/>
      <c r="N102" s="84"/>
    </row>
    <row r="103" spans="1:14" ht="21" x14ac:dyDescent="0.35">
      <c r="A103" s="108"/>
      <c r="B103" s="109" t="s">
        <v>91</v>
      </c>
      <c r="C103" s="136">
        <v>0</v>
      </c>
      <c r="D103" s="136">
        <v>0</v>
      </c>
      <c r="E103" s="136">
        <v>0</v>
      </c>
      <c r="F103" s="136">
        <v>0</v>
      </c>
      <c r="G103" s="178"/>
      <c r="H103" s="181"/>
      <c r="I103" s="179"/>
      <c r="J103" s="84"/>
      <c r="K103" s="84"/>
      <c r="L103" s="84"/>
      <c r="M103" s="84"/>
      <c r="N103" s="84"/>
    </row>
    <row r="104" spans="1:14" ht="21" x14ac:dyDescent="0.35">
      <c r="A104" s="108"/>
      <c r="B104" s="109" t="s">
        <v>92</v>
      </c>
      <c r="C104" s="136">
        <v>0</v>
      </c>
      <c r="D104" s="136">
        <v>0</v>
      </c>
      <c r="E104" s="136">
        <v>0</v>
      </c>
      <c r="F104" s="136">
        <v>0</v>
      </c>
      <c r="G104" s="178"/>
      <c r="H104" s="181"/>
      <c r="I104" s="179"/>
      <c r="J104" s="84"/>
      <c r="K104" s="84"/>
      <c r="L104" s="84"/>
      <c r="M104" s="84"/>
      <c r="N104" s="84"/>
    </row>
    <row r="105" spans="1:14" ht="42" x14ac:dyDescent="0.35">
      <c r="A105" s="108"/>
      <c r="B105" s="137" t="s">
        <v>93</v>
      </c>
      <c r="C105" s="136">
        <f>'[1]Analítico Septiembre'!R152</f>
        <v>6000000</v>
      </c>
      <c r="D105" s="136">
        <f>'[1]Analítico Septiembre'!S152</f>
        <v>6000000</v>
      </c>
      <c r="E105" s="136">
        <f>'[1]Analítico Septiembre'!T152</f>
        <v>4363640</v>
      </c>
      <c r="F105" s="136">
        <f>'[1]Analítico Septiembre'!V152</f>
        <v>4363640</v>
      </c>
      <c r="G105" s="178">
        <f>+D105-C105</f>
        <v>0</v>
      </c>
      <c r="H105" s="181">
        <f>+F105-E105</f>
        <v>0</v>
      </c>
      <c r="I105" s="179"/>
      <c r="J105" s="180"/>
      <c r="K105" s="84"/>
      <c r="L105" s="84"/>
      <c r="M105" s="84"/>
      <c r="N105" s="84"/>
    </row>
    <row r="106" spans="1:14" ht="21" x14ac:dyDescent="0.35">
      <c r="A106" s="108"/>
      <c r="B106" s="106"/>
      <c r="C106" s="136"/>
      <c r="D106" s="149"/>
      <c r="E106" s="149"/>
      <c r="F106" s="149"/>
      <c r="G106" s="178"/>
      <c r="H106" s="181"/>
      <c r="I106" s="179"/>
      <c r="J106" s="84"/>
      <c r="K106" s="84"/>
      <c r="L106" s="84"/>
      <c r="M106" s="84"/>
      <c r="N106" s="84"/>
    </row>
    <row r="107" spans="1:14" ht="21" x14ac:dyDescent="0.35">
      <c r="A107" s="102" t="s">
        <v>94</v>
      </c>
      <c r="B107" s="106"/>
      <c r="C107" s="136">
        <f>SUM(C109:C110)</f>
        <v>0</v>
      </c>
      <c r="D107" s="136">
        <f>SUM(D109:D110)</f>
        <v>0</v>
      </c>
      <c r="E107" s="136">
        <f>SUM(E109:E110)</f>
        <v>0</v>
      </c>
      <c r="F107" s="136">
        <f>SUM(F109:F110)</f>
        <v>0</v>
      </c>
      <c r="G107" s="178"/>
      <c r="H107" s="181"/>
      <c r="I107" s="179"/>
      <c r="J107" s="84"/>
      <c r="K107" s="84"/>
      <c r="L107" s="84"/>
      <c r="M107" s="84"/>
      <c r="N107" s="84"/>
    </row>
    <row r="108" spans="1:14" ht="21" x14ac:dyDescent="0.35">
      <c r="A108" s="108"/>
      <c r="B108" s="106"/>
      <c r="C108" s="136"/>
      <c r="D108" s="136"/>
      <c r="E108" s="136"/>
      <c r="F108" s="136"/>
      <c r="G108" s="178"/>
      <c r="H108" s="181"/>
      <c r="I108" s="179"/>
      <c r="J108" s="84"/>
      <c r="K108" s="84"/>
      <c r="L108" s="84"/>
      <c r="M108" s="84"/>
      <c r="N108" s="84"/>
    </row>
    <row r="109" spans="1:14" ht="21" x14ac:dyDescent="0.35">
      <c r="A109" s="108"/>
      <c r="B109" s="109" t="s">
        <v>95</v>
      </c>
      <c r="C109" s="138">
        <v>0</v>
      </c>
      <c r="D109" s="138">
        <v>0</v>
      </c>
      <c r="E109" s="138">
        <v>0</v>
      </c>
      <c r="F109" s="138">
        <v>0</v>
      </c>
      <c r="G109" s="178"/>
      <c r="H109" s="181"/>
      <c r="I109" s="179"/>
      <c r="J109" s="84"/>
      <c r="K109" s="84"/>
      <c r="L109" s="84"/>
      <c r="M109" s="84"/>
      <c r="N109" s="84"/>
    </row>
    <row r="110" spans="1:14" ht="21" x14ac:dyDescent="0.35">
      <c r="A110" s="108"/>
      <c r="B110" s="109" t="s">
        <v>96</v>
      </c>
      <c r="C110" s="138">
        <v>0</v>
      </c>
      <c r="D110" s="138">
        <v>0</v>
      </c>
      <c r="E110" s="138">
        <v>0</v>
      </c>
      <c r="F110" s="138">
        <v>0</v>
      </c>
      <c r="G110" s="178"/>
      <c r="H110" s="181"/>
      <c r="I110" s="179"/>
      <c r="J110" s="84"/>
      <c r="K110" s="84"/>
      <c r="L110" s="84"/>
      <c r="M110" s="84"/>
      <c r="N110" s="84"/>
    </row>
    <row r="111" spans="1:14" ht="21" x14ac:dyDescent="0.35">
      <c r="A111" s="108"/>
      <c r="B111" s="106"/>
      <c r="C111" s="136"/>
      <c r="D111" s="136"/>
      <c r="E111" s="136"/>
      <c r="F111" s="136"/>
      <c r="G111" s="178"/>
      <c r="H111" s="181"/>
      <c r="I111" s="179"/>
      <c r="J111" s="84"/>
      <c r="K111" s="84"/>
      <c r="L111" s="84"/>
      <c r="M111" s="84"/>
      <c r="N111" s="84"/>
    </row>
    <row r="112" spans="1:14" ht="21" x14ac:dyDescent="0.35">
      <c r="A112" s="102" t="s">
        <v>97</v>
      </c>
      <c r="B112" s="106"/>
      <c r="C112" s="136">
        <f>+C114</f>
        <v>0</v>
      </c>
      <c r="D112" s="136">
        <f>+D114</f>
        <v>0</v>
      </c>
      <c r="E112" s="136">
        <f>+E114</f>
        <v>0</v>
      </c>
      <c r="F112" s="136">
        <f>+F114</f>
        <v>0</v>
      </c>
      <c r="G112" s="178"/>
      <c r="H112" s="181"/>
      <c r="I112" s="179"/>
      <c r="J112" s="84"/>
      <c r="K112" s="84"/>
      <c r="L112" s="84"/>
      <c r="M112" s="84"/>
      <c r="N112" s="84"/>
    </row>
    <row r="113" spans="1:14" ht="21" x14ac:dyDescent="0.35">
      <c r="A113" s="108"/>
      <c r="B113" s="106"/>
      <c r="C113" s="136"/>
      <c r="D113" s="136"/>
      <c r="E113" s="136"/>
      <c r="F113" s="136"/>
      <c r="G113" s="178"/>
      <c r="H113" s="181"/>
      <c r="I113" s="179"/>
      <c r="J113" s="84"/>
      <c r="K113" s="84"/>
      <c r="L113" s="84"/>
      <c r="M113" s="84"/>
      <c r="N113" s="84"/>
    </row>
    <row r="114" spans="1:14" ht="21" x14ac:dyDescent="0.35">
      <c r="A114" s="108"/>
      <c r="B114" s="109" t="s">
        <v>106</v>
      </c>
      <c r="C114" s="138">
        <v>0</v>
      </c>
      <c r="D114" s="138">
        <v>0</v>
      </c>
      <c r="E114" s="138">
        <v>0</v>
      </c>
      <c r="F114" s="138">
        <v>0</v>
      </c>
      <c r="G114" s="178"/>
      <c r="H114" s="181"/>
      <c r="I114" s="179"/>
      <c r="J114" s="84"/>
      <c r="K114" s="84"/>
      <c r="L114" s="84"/>
      <c r="M114" s="84"/>
      <c r="N114" s="84"/>
    </row>
    <row r="115" spans="1:14" ht="21" x14ac:dyDescent="0.35">
      <c r="A115" s="108"/>
      <c r="B115" s="106"/>
      <c r="C115" s="136"/>
      <c r="D115" s="136"/>
      <c r="E115" s="136"/>
      <c r="F115" s="136"/>
      <c r="G115" s="178"/>
      <c r="H115" s="181"/>
      <c r="I115" s="179"/>
      <c r="J115" s="84"/>
      <c r="K115" s="84"/>
      <c r="L115" s="84"/>
      <c r="M115" s="84"/>
      <c r="N115" s="84"/>
    </row>
    <row r="116" spans="1:14" ht="21" x14ac:dyDescent="0.35">
      <c r="A116" s="102" t="s">
        <v>99</v>
      </c>
      <c r="B116" s="106"/>
      <c r="C116" s="136">
        <f>SUM(C118:C119)</f>
        <v>0</v>
      </c>
      <c r="D116" s="136">
        <f>SUM(D118:D119)</f>
        <v>0</v>
      </c>
      <c r="E116" s="136">
        <f>SUM(E118:E119)</f>
        <v>0</v>
      </c>
      <c r="F116" s="136">
        <f>SUM(F118:F119)</f>
        <v>0</v>
      </c>
      <c r="G116" s="178"/>
      <c r="H116" s="181"/>
      <c r="I116" s="179"/>
      <c r="J116" s="84"/>
      <c r="K116" s="84"/>
      <c r="L116" s="84"/>
      <c r="M116" s="84"/>
      <c r="N116" s="84"/>
    </row>
    <row r="117" spans="1:14" ht="21" x14ac:dyDescent="0.35">
      <c r="A117" s="108"/>
      <c r="B117" s="109" t="s">
        <v>100</v>
      </c>
      <c r="C117" s="136"/>
      <c r="D117" s="136"/>
      <c r="E117" s="136"/>
      <c r="F117" s="136"/>
      <c r="G117" s="178"/>
      <c r="H117" s="181"/>
      <c r="I117" s="179"/>
      <c r="J117" s="84"/>
      <c r="K117" s="84"/>
      <c r="L117" s="84"/>
      <c r="M117" s="84"/>
      <c r="N117" s="84"/>
    </row>
    <row r="118" spans="1:14" ht="21" x14ac:dyDescent="0.35">
      <c r="A118" s="108"/>
      <c r="B118" s="109" t="s">
        <v>101</v>
      </c>
      <c r="C118" s="138"/>
      <c r="D118" s="138"/>
      <c r="E118" s="138"/>
      <c r="F118" s="138"/>
      <c r="G118" s="178"/>
      <c r="H118" s="181"/>
      <c r="I118" s="179"/>
      <c r="J118" s="84"/>
      <c r="K118" s="84"/>
      <c r="L118" s="84"/>
      <c r="M118" s="84"/>
      <c r="N118" s="84"/>
    </row>
    <row r="119" spans="1:14" ht="21" x14ac:dyDescent="0.35">
      <c r="A119" s="139"/>
      <c r="B119" s="140" t="s">
        <v>102</v>
      </c>
      <c r="C119" s="141"/>
      <c r="D119" s="141"/>
      <c r="E119" s="141"/>
      <c r="F119" s="141"/>
      <c r="G119" s="178"/>
      <c r="H119" s="181"/>
      <c r="I119" s="179"/>
      <c r="J119" s="84"/>
      <c r="K119" s="84"/>
      <c r="L119" s="84"/>
      <c r="M119" s="84"/>
      <c r="N119" s="84"/>
    </row>
    <row r="120" spans="1:14" ht="13.5" customHeight="1" x14ac:dyDescent="0.35">
      <c r="A120" s="123"/>
      <c r="B120" s="123"/>
      <c r="C120" s="142"/>
      <c r="D120" s="142"/>
      <c r="E120" s="142"/>
      <c r="F120" s="142"/>
      <c r="G120" s="178"/>
      <c r="H120" s="181"/>
      <c r="I120" s="179"/>
      <c r="J120" s="84"/>
      <c r="K120" s="84"/>
      <c r="L120" s="84"/>
      <c r="M120" s="84"/>
      <c r="N120" s="84"/>
    </row>
    <row r="121" spans="1:14" ht="21" x14ac:dyDescent="0.35">
      <c r="A121" s="143" t="s">
        <v>109</v>
      </c>
      <c r="B121" s="144"/>
      <c r="C121" s="145">
        <f>SUM(C123+C131+C136+C140)</f>
        <v>0</v>
      </c>
      <c r="D121" s="145">
        <f>SUM(D123+D131+D136+D140)</f>
        <v>0</v>
      </c>
      <c r="E121" s="145">
        <f>SUM(E123+E131+E136+E140)</f>
        <v>0</v>
      </c>
      <c r="F121" s="145">
        <f>SUM(F123+F131+F136+F140)</f>
        <v>0</v>
      </c>
      <c r="G121" s="178"/>
      <c r="H121" s="181"/>
      <c r="I121" s="179"/>
      <c r="J121" s="84"/>
      <c r="K121" s="84"/>
      <c r="L121" s="84"/>
      <c r="M121" s="84"/>
      <c r="N121" s="84"/>
    </row>
    <row r="122" spans="1:14" ht="21" x14ac:dyDescent="0.35">
      <c r="A122" s="102"/>
      <c r="B122" s="106"/>
      <c r="C122" s="136"/>
      <c r="D122" s="136"/>
      <c r="E122" s="136"/>
      <c r="F122" s="136"/>
      <c r="G122" s="178"/>
      <c r="H122" s="181"/>
      <c r="I122" s="179"/>
      <c r="J122" s="84"/>
      <c r="K122" s="84"/>
      <c r="L122" s="84"/>
      <c r="M122" s="84"/>
      <c r="N122" s="84"/>
    </row>
    <row r="123" spans="1:14" ht="21" x14ac:dyDescent="0.35">
      <c r="A123" s="102" t="s">
        <v>89</v>
      </c>
      <c r="B123" s="106"/>
      <c r="C123" s="136">
        <f>SUM(C126:C129)</f>
        <v>0</v>
      </c>
      <c r="D123" s="136">
        <f>SUM(D126:D129)</f>
        <v>0</v>
      </c>
      <c r="E123" s="136">
        <f>SUM(E126:E129)</f>
        <v>0</v>
      </c>
      <c r="F123" s="136">
        <f>SUM(F126:F129)</f>
        <v>0</v>
      </c>
      <c r="G123" s="178"/>
      <c r="H123" s="181"/>
      <c r="I123" s="179"/>
      <c r="J123" s="84"/>
      <c r="K123" s="84"/>
      <c r="L123" s="84"/>
      <c r="M123" s="84"/>
      <c r="N123" s="84"/>
    </row>
    <row r="124" spans="1:14" ht="21" x14ac:dyDescent="0.35">
      <c r="A124" s="108"/>
      <c r="B124" s="106"/>
      <c r="C124" s="136"/>
      <c r="D124" s="136"/>
      <c r="E124" s="136"/>
      <c r="F124" s="136"/>
      <c r="G124" s="178"/>
      <c r="H124" s="181"/>
      <c r="I124" s="179"/>
      <c r="J124" s="84"/>
      <c r="K124" s="84"/>
      <c r="L124" s="84"/>
      <c r="M124" s="84"/>
      <c r="N124" s="84"/>
    </row>
    <row r="125" spans="1:14" ht="21" hidden="1" outlineLevel="1" x14ac:dyDescent="0.35">
      <c r="A125" s="108"/>
      <c r="B125" s="106"/>
      <c r="C125" s="136" t="e">
        <f>#REF!</f>
        <v>#REF!</v>
      </c>
      <c r="D125" s="136"/>
      <c r="E125" s="136"/>
      <c r="F125" s="136"/>
      <c r="G125" s="178"/>
      <c r="H125" s="181"/>
      <c r="I125" s="179"/>
      <c r="J125" s="84"/>
      <c r="K125" s="84"/>
      <c r="L125" s="84"/>
      <c r="M125" s="84"/>
      <c r="N125" s="84"/>
    </row>
    <row r="126" spans="1:14" ht="21" collapsed="1" x14ac:dyDescent="0.35">
      <c r="A126" s="108"/>
      <c r="B126" s="109" t="s">
        <v>90</v>
      </c>
      <c r="C126" s="138"/>
      <c r="D126" s="138"/>
      <c r="E126" s="138"/>
      <c r="F126" s="138"/>
      <c r="G126" s="178"/>
      <c r="H126" s="181"/>
      <c r="I126" s="179"/>
      <c r="J126" s="84"/>
      <c r="K126" s="84"/>
      <c r="L126" s="84"/>
      <c r="M126" s="84"/>
      <c r="N126" s="84"/>
    </row>
    <row r="127" spans="1:14" ht="21" x14ac:dyDescent="0.35">
      <c r="A127" s="108"/>
      <c r="B127" s="109" t="s">
        <v>91</v>
      </c>
      <c r="C127" s="138"/>
      <c r="D127" s="138"/>
      <c r="E127" s="138"/>
      <c r="F127" s="138"/>
      <c r="G127" s="178"/>
      <c r="H127" s="181"/>
      <c r="I127" s="179"/>
      <c r="J127" s="84"/>
      <c r="K127" s="84"/>
      <c r="L127" s="84"/>
      <c r="M127" s="84"/>
      <c r="N127" s="84"/>
    </row>
    <row r="128" spans="1:14" ht="21" x14ac:dyDescent="0.35">
      <c r="A128" s="108"/>
      <c r="B128" s="109" t="s">
        <v>92</v>
      </c>
      <c r="C128" s="138"/>
      <c r="D128" s="138"/>
      <c r="E128" s="138"/>
      <c r="F128" s="138"/>
      <c r="G128" s="178"/>
      <c r="H128" s="181"/>
      <c r="I128" s="179"/>
      <c r="J128" s="84"/>
      <c r="K128" s="84"/>
      <c r="L128" s="84"/>
      <c r="M128" s="84"/>
      <c r="N128" s="84"/>
    </row>
    <row r="129" spans="1:14" ht="42" x14ac:dyDescent="0.35">
      <c r="A129" s="108"/>
      <c r="B129" s="137" t="s">
        <v>93</v>
      </c>
      <c r="C129" s="138"/>
      <c r="D129" s="138"/>
      <c r="E129" s="138"/>
      <c r="F129" s="138"/>
      <c r="G129" s="178"/>
      <c r="H129" s="181"/>
      <c r="I129" s="179"/>
      <c r="J129" s="84"/>
      <c r="K129" s="84"/>
      <c r="L129" s="84"/>
      <c r="M129" s="84"/>
      <c r="N129" s="84"/>
    </row>
    <row r="130" spans="1:14" ht="21" x14ac:dyDescent="0.35">
      <c r="A130" s="108"/>
      <c r="B130" s="106"/>
      <c r="C130" s="136"/>
      <c r="D130" s="136"/>
      <c r="E130" s="136"/>
      <c r="F130" s="136"/>
      <c r="G130" s="178"/>
      <c r="H130" s="181"/>
      <c r="I130" s="179"/>
      <c r="J130" s="84"/>
      <c r="K130" s="84"/>
      <c r="L130" s="84"/>
      <c r="M130" s="84"/>
      <c r="N130" s="84"/>
    </row>
    <row r="131" spans="1:14" ht="21" x14ac:dyDescent="0.35">
      <c r="A131" s="102" t="s">
        <v>94</v>
      </c>
      <c r="B131" s="106"/>
      <c r="C131" s="136">
        <f>SUM(C133:C134)</f>
        <v>0</v>
      </c>
      <c r="D131" s="136">
        <f>SUM(D133:D134)</f>
        <v>0</v>
      </c>
      <c r="E131" s="136">
        <f>SUM(E133:E134)</f>
        <v>0</v>
      </c>
      <c r="F131" s="136">
        <f>SUM(F133:F134)</f>
        <v>0</v>
      </c>
      <c r="G131" s="178"/>
      <c r="H131" s="181"/>
      <c r="I131" s="179"/>
      <c r="J131" s="84"/>
      <c r="K131" s="84"/>
      <c r="L131" s="84"/>
      <c r="M131" s="84"/>
      <c r="N131" s="84"/>
    </row>
    <row r="132" spans="1:14" ht="21" x14ac:dyDescent="0.35">
      <c r="A132" s="108"/>
      <c r="B132" s="106"/>
      <c r="C132" s="136"/>
      <c r="D132" s="136"/>
      <c r="E132" s="136"/>
      <c r="F132" s="136"/>
      <c r="G132" s="178"/>
      <c r="H132" s="181"/>
      <c r="I132" s="179"/>
      <c r="J132" s="84"/>
      <c r="K132" s="84"/>
      <c r="L132" s="84"/>
      <c r="M132" s="84"/>
      <c r="N132" s="84"/>
    </row>
    <row r="133" spans="1:14" ht="21" x14ac:dyDescent="0.35">
      <c r="A133" s="108"/>
      <c r="B133" s="109" t="s">
        <v>95</v>
      </c>
      <c r="C133" s="138"/>
      <c r="D133" s="138"/>
      <c r="E133" s="138"/>
      <c r="F133" s="138"/>
      <c r="G133" s="178"/>
      <c r="H133" s="181"/>
      <c r="I133" s="179"/>
      <c r="J133" s="84"/>
      <c r="K133" s="84"/>
      <c r="L133" s="84"/>
      <c r="M133" s="84"/>
      <c r="N133" s="84"/>
    </row>
    <row r="134" spans="1:14" ht="21" x14ac:dyDescent="0.35">
      <c r="A134" s="108"/>
      <c r="B134" s="109" t="s">
        <v>96</v>
      </c>
      <c r="C134" s="138"/>
      <c r="D134" s="138"/>
      <c r="E134" s="138"/>
      <c r="F134" s="138"/>
      <c r="G134" s="178"/>
      <c r="H134" s="181"/>
      <c r="I134" s="179"/>
      <c r="J134" s="84"/>
      <c r="K134" s="84"/>
      <c r="L134" s="84"/>
      <c r="M134" s="84"/>
      <c r="N134" s="84"/>
    </row>
    <row r="135" spans="1:14" ht="21" x14ac:dyDescent="0.35">
      <c r="A135" s="108"/>
      <c r="B135" s="106"/>
      <c r="C135" s="136"/>
      <c r="D135" s="136"/>
      <c r="E135" s="136"/>
      <c r="F135" s="136"/>
      <c r="G135" s="178"/>
      <c r="H135" s="181"/>
      <c r="I135" s="179"/>
      <c r="J135" s="84"/>
      <c r="K135" s="84"/>
      <c r="L135" s="84"/>
      <c r="M135" s="84"/>
      <c r="N135" s="84"/>
    </row>
    <row r="136" spans="1:14" ht="21" x14ac:dyDescent="0.35">
      <c r="A136" s="102" t="s">
        <v>97</v>
      </c>
      <c r="B136" s="106"/>
      <c r="C136" s="136">
        <f>+C138</f>
        <v>0</v>
      </c>
      <c r="D136" s="136">
        <f>+D138</f>
        <v>0</v>
      </c>
      <c r="E136" s="136">
        <f>+E138</f>
        <v>0</v>
      </c>
      <c r="F136" s="136">
        <f>+F138</f>
        <v>0</v>
      </c>
      <c r="G136" s="178"/>
      <c r="H136" s="181"/>
      <c r="I136" s="179"/>
      <c r="J136" s="84"/>
      <c r="K136" s="84"/>
      <c r="L136" s="84"/>
      <c r="M136" s="84"/>
      <c r="N136" s="84"/>
    </row>
    <row r="137" spans="1:14" ht="21" x14ac:dyDescent="0.35">
      <c r="A137" s="102"/>
      <c r="B137" s="106"/>
      <c r="C137" s="136"/>
      <c r="D137" s="136"/>
      <c r="E137" s="136"/>
      <c r="F137" s="136"/>
      <c r="G137" s="178"/>
      <c r="H137" s="181"/>
      <c r="I137" s="179"/>
      <c r="J137" s="84"/>
      <c r="K137" s="84"/>
      <c r="L137" s="84"/>
      <c r="M137" s="84"/>
      <c r="N137" s="84"/>
    </row>
    <row r="138" spans="1:14" ht="21" x14ac:dyDescent="0.35">
      <c r="A138" s="102"/>
      <c r="B138" s="109" t="s">
        <v>110</v>
      </c>
      <c r="C138" s="138"/>
      <c r="D138" s="138"/>
      <c r="E138" s="138"/>
      <c r="F138" s="138"/>
      <c r="G138" s="178"/>
      <c r="H138" s="181"/>
      <c r="I138" s="179"/>
      <c r="J138" s="84"/>
      <c r="K138" s="84"/>
      <c r="L138" s="84"/>
      <c r="M138" s="84"/>
      <c r="N138" s="84"/>
    </row>
    <row r="139" spans="1:14" ht="21" x14ac:dyDescent="0.35">
      <c r="A139" s="102"/>
      <c r="B139" s="106"/>
      <c r="C139" s="136"/>
      <c r="D139" s="136"/>
      <c r="E139" s="136"/>
      <c r="F139" s="136"/>
      <c r="G139" s="178"/>
      <c r="H139" s="181"/>
      <c r="I139" s="179"/>
      <c r="J139" s="84"/>
      <c r="K139" s="84"/>
      <c r="L139" s="84"/>
      <c r="M139" s="84"/>
      <c r="N139" s="84"/>
    </row>
    <row r="140" spans="1:14" ht="21" x14ac:dyDescent="0.35">
      <c r="A140" s="102" t="s">
        <v>99</v>
      </c>
      <c r="B140" s="106"/>
      <c r="C140" s="136">
        <f>SUM(C142:C143)</f>
        <v>0</v>
      </c>
      <c r="D140" s="136">
        <f>SUM(D142:D143)</f>
        <v>0</v>
      </c>
      <c r="E140" s="136">
        <f>SUM(E142:E143)</f>
        <v>0</v>
      </c>
      <c r="F140" s="136">
        <f>SUM(F142:F143)</f>
        <v>0</v>
      </c>
      <c r="G140" s="178"/>
      <c r="H140" s="181"/>
      <c r="I140" s="179"/>
      <c r="J140" s="84"/>
      <c r="K140" s="84"/>
      <c r="L140" s="84"/>
      <c r="M140" s="84"/>
      <c r="N140" s="84"/>
    </row>
    <row r="141" spans="1:14" ht="21" x14ac:dyDescent="0.35">
      <c r="A141" s="108"/>
      <c r="B141" s="109" t="s">
        <v>100</v>
      </c>
      <c r="C141" s="136"/>
      <c r="D141" s="136"/>
      <c r="E141" s="136"/>
      <c r="F141" s="136"/>
      <c r="G141" s="178"/>
      <c r="H141" s="181"/>
      <c r="I141" s="179"/>
      <c r="J141" s="84"/>
      <c r="K141" s="84"/>
      <c r="L141" s="84"/>
      <c r="M141" s="84"/>
      <c r="N141" s="84"/>
    </row>
    <row r="142" spans="1:14" ht="21" x14ac:dyDescent="0.35">
      <c r="A142" s="108"/>
      <c r="B142" s="109" t="s">
        <v>101</v>
      </c>
      <c r="C142" s="138"/>
      <c r="D142" s="138"/>
      <c r="E142" s="138"/>
      <c r="F142" s="138"/>
      <c r="G142" s="178"/>
      <c r="H142" s="181"/>
      <c r="I142" s="179"/>
      <c r="J142" s="84"/>
      <c r="K142" s="84"/>
      <c r="L142" s="84"/>
      <c r="M142" s="84"/>
      <c r="N142" s="84"/>
    </row>
    <row r="143" spans="1:14" ht="21" x14ac:dyDescent="0.35">
      <c r="A143" s="139"/>
      <c r="B143" s="140" t="s">
        <v>102</v>
      </c>
      <c r="C143" s="141"/>
      <c r="D143" s="141"/>
      <c r="E143" s="141"/>
      <c r="F143" s="141"/>
      <c r="G143" s="178"/>
      <c r="H143" s="181">
        <f>+G144-'[5]Analítico Agosto'!W160</f>
        <v>40539457.199999996</v>
      </c>
      <c r="I143" s="179"/>
      <c r="J143" s="84"/>
      <c r="K143" s="84"/>
      <c r="L143" s="84"/>
      <c r="M143" s="84"/>
      <c r="N143" s="84"/>
    </row>
    <row r="144" spans="1:14" ht="15.75" customHeight="1" x14ac:dyDescent="0.35">
      <c r="A144" s="123"/>
      <c r="B144" s="123"/>
      <c r="C144" s="142"/>
      <c r="D144" s="142"/>
      <c r="E144" s="142"/>
      <c r="F144" s="142"/>
      <c r="G144" s="179">
        <f>+D145-F145</f>
        <v>40659091.199999996</v>
      </c>
      <c r="H144" s="181"/>
      <c r="I144" s="179"/>
      <c r="J144" s="84"/>
      <c r="K144" s="84"/>
      <c r="L144" s="84"/>
      <c r="M144" s="84"/>
      <c r="N144" s="84"/>
    </row>
    <row r="145" spans="1:14" ht="21" x14ac:dyDescent="0.35">
      <c r="A145" s="143" t="s">
        <v>111</v>
      </c>
      <c r="B145" s="150"/>
      <c r="C145" s="145">
        <f>SUM(C147+C154+C159+C163)</f>
        <v>88806148</v>
      </c>
      <c r="D145" s="145">
        <f>SUM(D147+D154+D159+D163)</f>
        <v>89919148</v>
      </c>
      <c r="E145" s="145">
        <f>SUM(E147+E154+E159+E163)</f>
        <v>63526271</v>
      </c>
      <c r="F145" s="145">
        <f>SUM(F147+F154+F159+F163)</f>
        <v>49260056.800000004</v>
      </c>
      <c r="G145" s="179">
        <f>+D145-C145</f>
        <v>1113000</v>
      </c>
      <c r="H145" s="181">
        <f>+E145-F145</f>
        <v>14266214.199999996</v>
      </c>
      <c r="I145" s="179">
        <f>+F145/E145*100</f>
        <v>77.542811854956824</v>
      </c>
      <c r="J145" s="179">
        <f t="shared" ref="J145:J155" si="2">+D145-F145</f>
        <v>40659091.199999996</v>
      </c>
      <c r="K145" s="186"/>
      <c r="L145" s="186"/>
      <c r="M145" s="186"/>
      <c r="N145" s="186"/>
    </row>
    <row r="146" spans="1:14" ht="21" x14ac:dyDescent="0.35">
      <c r="A146" s="102"/>
      <c r="B146" s="109"/>
      <c r="C146" s="136"/>
      <c r="D146" s="136"/>
      <c r="E146" s="136"/>
      <c r="F146" s="136"/>
      <c r="G146" s="179"/>
      <c r="H146" s="181"/>
      <c r="I146" s="179"/>
      <c r="J146" s="179">
        <f t="shared" si="2"/>
        <v>0</v>
      </c>
      <c r="K146" s="186"/>
      <c r="L146" s="186"/>
      <c r="M146" s="186"/>
      <c r="N146" s="186"/>
    </row>
    <row r="147" spans="1:14" ht="21" x14ac:dyDescent="0.35">
      <c r="A147" s="102" t="s">
        <v>89</v>
      </c>
      <c r="B147" s="109"/>
      <c r="C147" s="136">
        <f>SUM(C149:C152)</f>
        <v>88806148</v>
      </c>
      <c r="D147" s="136">
        <f>SUM(D149:D152)</f>
        <v>88786148</v>
      </c>
      <c r="E147" s="136">
        <f>SUM(E149:E152)</f>
        <v>62393271</v>
      </c>
      <c r="F147" s="136">
        <f>SUM(F149:F152)</f>
        <v>49260056.800000004</v>
      </c>
      <c r="G147" s="179">
        <f>+D147-C147</f>
        <v>-20000</v>
      </c>
      <c r="H147" s="181">
        <f>+E147-F147</f>
        <v>13133214.199999996</v>
      </c>
      <c r="I147" s="179">
        <f>+F147/E147*100</f>
        <v>78.950912511062299</v>
      </c>
      <c r="J147" s="179">
        <f t="shared" si="2"/>
        <v>39526091.199999996</v>
      </c>
      <c r="K147" s="187"/>
      <c r="L147" s="187"/>
      <c r="M147" s="187"/>
      <c r="N147" s="187"/>
    </row>
    <row r="148" spans="1:14" ht="21" x14ac:dyDescent="0.35">
      <c r="A148" s="108"/>
      <c r="B148" s="106"/>
      <c r="C148" s="136"/>
      <c r="D148" s="136"/>
      <c r="E148" s="136"/>
      <c r="F148" s="136"/>
      <c r="G148" s="179"/>
      <c r="H148" s="181">
        <f t="shared" ref="H148:H157" si="3">+E148-F148</f>
        <v>0</v>
      </c>
      <c r="I148" s="179"/>
      <c r="J148" s="179">
        <f t="shared" si="2"/>
        <v>0</v>
      </c>
      <c r="K148" s="187"/>
      <c r="L148" s="187"/>
      <c r="M148" s="187"/>
      <c r="N148" s="187"/>
    </row>
    <row r="149" spans="1:14" ht="21" x14ac:dyDescent="0.35">
      <c r="A149" s="108"/>
      <c r="B149" s="109" t="s">
        <v>90</v>
      </c>
      <c r="C149" s="136">
        <f t="shared" ref="C149:F152" si="4">+C54+C102</f>
        <v>49681517</v>
      </c>
      <c r="D149" s="136">
        <f t="shared" si="4"/>
        <v>49681517</v>
      </c>
      <c r="E149" s="136">
        <f t="shared" si="4"/>
        <v>33160333</v>
      </c>
      <c r="F149" s="136">
        <f>+F54+F102</f>
        <v>27766999.810000002</v>
      </c>
      <c r="G149" s="179">
        <f>+D149-C149</f>
        <v>0</v>
      </c>
      <c r="H149" s="181">
        <f t="shared" si="3"/>
        <v>5393333.1899999976</v>
      </c>
      <c r="I149" s="179">
        <f>+F149/E149*100</f>
        <v>83.735587968914544</v>
      </c>
      <c r="J149" s="179">
        <f t="shared" si="2"/>
        <v>21914517.189999998</v>
      </c>
      <c r="K149" s="187"/>
      <c r="L149" s="187"/>
      <c r="M149" s="187"/>
      <c r="N149" s="187"/>
    </row>
    <row r="150" spans="1:14" ht="21" x14ac:dyDescent="0.35">
      <c r="A150" s="108"/>
      <c r="B150" s="109" t="s">
        <v>91</v>
      </c>
      <c r="C150" s="136">
        <f t="shared" si="4"/>
        <v>1635100</v>
      </c>
      <c r="D150" s="136">
        <f t="shared" si="4"/>
        <v>1635100</v>
      </c>
      <c r="E150" s="136">
        <f t="shared" si="4"/>
        <v>1468954</v>
      </c>
      <c r="F150" s="136">
        <f t="shared" si="4"/>
        <v>951680.6399999999</v>
      </c>
      <c r="G150" s="179">
        <f t="shared" ref="G150" si="5">+D150-C150</f>
        <v>0</v>
      </c>
      <c r="H150" s="181">
        <f t="shared" si="3"/>
        <v>517273.3600000001</v>
      </c>
      <c r="I150" s="179">
        <f>+F150/E150*100</f>
        <v>64.786279216367561</v>
      </c>
      <c r="J150" s="179">
        <f t="shared" si="2"/>
        <v>683419.3600000001</v>
      </c>
      <c r="K150" s="187"/>
      <c r="L150" s="187"/>
      <c r="M150" s="187"/>
      <c r="N150" s="187"/>
    </row>
    <row r="151" spans="1:14" ht="21" x14ac:dyDescent="0.35">
      <c r="A151" s="108"/>
      <c r="B151" s="109" t="s">
        <v>92</v>
      </c>
      <c r="C151" s="136">
        <f t="shared" si="4"/>
        <v>31489531</v>
      </c>
      <c r="D151" s="136">
        <f t="shared" si="4"/>
        <v>31469531</v>
      </c>
      <c r="E151" s="136">
        <f t="shared" si="4"/>
        <v>23400344</v>
      </c>
      <c r="F151" s="136">
        <f t="shared" si="4"/>
        <v>16177736.350000001</v>
      </c>
      <c r="G151" s="179">
        <f>+D151-C151</f>
        <v>-20000</v>
      </c>
      <c r="H151" s="181">
        <f t="shared" si="3"/>
        <v>7222607.6499999985</v>
      </c>
      <c r="I151" s="179">
        <f>+F151/E151*100</f>
        <v>69.134609089507407</v>
      </c>
      <c r="J151" s="179">
        <f t="shared" si="2"/>
        <v>15291794.649999999</v>
      </c>
      <c r="K151" s="187"/>
      <c r="L151" s="187"/>
      <c r="M151" s="187"/>
      <c r="N151" s="187"/>
    </row>
    <row r="152" spans="1:14" ht="42" x14ac:dyDescent="0.35">
      <c r="A152" s="108"/>
      <c r="B152" s="137" t="s">
        <v>93</v>
      </c>
      <c r="C152" s="136">
        <f t="shared" si="4"/>
        <v>6000000</v>
      </c>
      <c r="D152" s="136">
        <f t="shared" si="4"/>
        <v>6000000</v>
      </c>
      <c r="E152" s="136">
        <f t="shared" si="4"/>
        <v>4363640</v>
      </c>
      <c r="F152" s="136">
        <f t="shared" si="4"/>
        <v>4363640</v>
      </c>
      <c r="G152" s="179">
        <f>+D152-C152</f>
        <v>0</v>
      </c>
      <c r="H152" s="181">
        <f t="shared" si="3"/>
        <v>0</v>
      </c>
      <c r="I152" s="179">
        <f>+F152/E152*100</f>
        <v>100</v>
      </c>
      <c r="J152" s="179">
        <f>+D152-F152</f>
        <v>1636360</v>
      </c>
      <c r="K152" s="187"/>
      <c r="L152" s="187"/>
      <c r="M152" s="187"/>
      <c r="N152" s="187"/>
    </row>
    <row r="153" spans="1:14" ht="21" x14ac:dyDescent="0.35">
      <c r="A153" s="108"/>
      <c r="B153" s="109"/>
      <c r="C153" s="136"/>
      <c r="D153" s="136"/>
      <c r="E153" s="136"/>
      <c r="F153" s="136"/>
      <c r="G153" s="179"/>
      <c r="H153" s="181">
        <f t="shared" si="3"/>
        <v>0</v>
      </c>
      <c r="I153" s="179"/>
      <c r="J153" s="179">
        <f t="shared" si="2"/>
        <v>0</v>
      </c>
      <c r="K153" s="187"/>
      <c r="L153" s="187"/>
      <c r="M153" s="187"/>
      <c r="N153" s="187"/>
    </row>
    <row r="154" spans="1:14" ht="21" x14ac:dyDescent="0.35">
      <c r="A154" s="102" t="s">
        <v>94</v>
      </c>
      <c r="B154" s="106"/>
      <c r="C154" s="136">
        <f>SUM(C156:C157)</f>
        <v>0</v>
      </c>
      <c r="D154" s="136">
        <f>SUM(D156:D157)</f>
        <v>1133000</v>
      </c>
      <c r="E154" s="136">
        <f>SUM(E156:E157)</f>
        <v>1133000</v>
      </c>
      <c r="F154" s="136">
        <f>SUM(F156:F157)</f>
        <v>0</v>
      </c>
      <c r="G154" s="179">
        <f>+D154-C154</f>
        <v>1133000</v>
      </c>
      <c r="H154" s="181">
        <f t="shared" si="3"/>
        <v>1133000</v>
      </c>
      <c r="I154" s="179">
        <f>+F154/E154*100</f>
        <v>0</v>
      </c>
      <c r="J154" s="179">
        <f>+D154-F154</f>
        <v>1133000</v>
      </c>
      <c r="K154" s="187"/>
      <c r="L154" s="187"/>
      <c r="M154" s="187"/>
      <c r="N154" s="187"/>
    </row>
    <row r="155" spans="1:14" ht="21" x14ac:dyDescent="0.35">
      <c r="A155" s="108"/>
      <c r="B155" s="106"/>
      <c r="C155" s="136"/>
      <c r="D155" s="136"/>
      <c r="E155" s="136"/>
      <c r="F155" s="136"/>
      <c r="G155" s="179"/>
      <c r="H155" s="181">
        <f t="shared" si="3"/>
        <v>0</v>
      </c>
      <c r="I155" s="179"/>
      <c r="J155" s="179">
        <f t="shared" si="2"/>
        <v>0</v>
      </c>
      <c r="K155" s="187"/>
      <c r="L155" s="187"/>
      <c r="M155" s="179"/>
      <c r="N155" s="188"/>
    </row>
    <row r="156" spans="1:14" ht="21" x14ac:dyDescent="0.35">
      <c r="A156" s="108"/>
      <c r="B156" s="109" t="s">
        <v>95</v>
      </c>
      <c r="C156" s="136">
        <f t="shared" ref="C156:F157" si="6">+C61+C109</f>
        <v>0</v>
      </c>
      <c r="D156" s="136">
        <f t="shared" si="6"/>
        <v>1133000</v>
      </c>
      <c r="E156" s="136">
        <f t="shared" si="6"/>
        <v>1133000</v>
      </c>
      <c r="F156" s="136">
        <f t="shared" si="6"/>
        <v>0</v>
      </c>
      <c r="G156" s="179">
        <f>+D156-C156</f>
        <v>1133000</v>
      </c>
      <c r="H156" s="181">
        <f t="shared" si="3"/>
        <v>1133000</v>
      </c>
      <c r="I156" s="179">
        <f>+F156/E156*100</f>
        <v>0</v>
      </c>
      <c r="J156" s="179">
        <f>+D156-F156</f>
        <v>1133000</v>
      </c>
      <c r="K156" s="187"/>
      <c r="L156" s="187"/>
      <c r="M156" s="179"/>
      <c r="N156" s="188"/>
    </row>
    <row r="157" spans="1:14" ht="21" x14ac:dyDescent="0.35">
      <c r="A157" s="108"/>
      <c r="B157" s="109" t="s">
        <v>96</v>
      </c>
      <c r="C157" s="136">
        <f t="shared" si="6"/>
        <v>0</v>
      </c>
      <c r="D157" s="136">
        <f t="shared" si="6"/>
        <v>0</v>
      </c>
      <c r="E157" s="136">
        <f t="shared" si="6"/>
        <v>0</v>
      </c>
      <c r="F157" s="136">
        <f t="shared" si="6"/>
        <v>0</v>
      </c>
      <c r="G157" s="179"/>
      <c r="H157" s="181">
        <f t="shared" si="3"/>
        <v>0</v>
      </c>
      <c r="I157" s="179"/>
      <c r="J157" s="84"/>
      <c r="K157" s="84"/>
      <c r="L157" s="189"/>
      <c r="M157" s="189"/>
      <c r="N157" s="189"/>
    </row>
    <row r="158" spans="1:14" ht="21" x14ac:dyDescent="0.35">
      <c r="A158" s="108"/>
      <c r="B158" s="106"/>
      <c r="C158" s="136"/>
      <c r="D158" s="136"/>
      <c r="E158" s="136"/>
      <c r="F158" s="136"/>
      <c r="G158" s="178"/>
      <c r="H158" s="181"/>
      <c r="I158" s="179"/>
      <c r="J158" s="84"/>
      <c r="K158" s="84"/>
      <c r="L158" s="84"/>
      <c r="M158" s="84"/>
      <c r="N158" s="84"/>
    </row>
    <row r="159" spans="1:14" ht="21" x14ac:dyDescent="0.35">
      <c r="A159" s="102" t="s">
        <v>97</v>
      </c>
      <c r="B159" s="106"/>
      <c r="C159" s="136">
        <f>+C161</f>
        <v>0</v>
      </c>
      <c r="D159" s="136">
        <f>+D161</f>
        <v>0</v>
      </c>
      <c r="E159" s="136">
        <f>+E161</f>
        <v>0</v>
      </c>
      <c r="F159" s="136">
        <f>+F161</f>
        <v>0</v>
      </c>
      <c r="G159" s="178"/>
      <c r="H159" s="181"/>
      <c r="I159" s="179"/>
      <c r="J159" s="84"/>
      <c r="K159" s="84"/>
      <c r="L159" s="180"/>
      <c r="M159" s="180"/>
      <c r="N159" s="180"/>
    </row>
    <row r="160" spans="1:14" ht="21" x14ac:dyDescent="0.35">
      <c r="A160" s="108"/>
      <c r="B160" s="106"/>
      <c r="C160" s="136"/>
      <c r="D160" s="136"/>
      <c r="E160" s="136"/>
      <c r="F160" s="136"/>
      <c r="G160" s="178"/>
      <c r="H160" s="181"/>
      <c r="I160" s="179"/>
      <c r="J160" s="84"/>
      <c r="K160" s="84"/>
      <c r="L160" s="84"/>
      <c r="M160" s="84"/>
      <c r="N160" s="84"/>
    </row>
    <row r="161" spans="1:14" ht="21" x14ac:dyDescent="0.35">
      <c r="A161" s="108"/>
      <c r="B161" s="109" t="s">
        <v>110</v>
      </c>
      <c r="C161" s="138">
        <f>+C66+C138</f>
        <v>0</v>
      </c>
      <c r="D161" s="138">
        <f>+D66+D138</f>
        <v>0</v>
      </c>
      <c r="E161" s="138">
        <f>+E66+E138</f>
        <v>0</v>
      </c>
      <c r="F161" s="138">
        <f>+F66+F138</f>
        <v>0</v>
      </c>
      <c r="G161" s="178"/>
      <c r="H161" s="181"/>
      <c r="I161" s="179"/>
      <c r="J161" s="84"/>
      <c r="K161" s="84"/>
      <c r="L161" s="84"/>
      <c r="M161" s="84"/>
      <c r="N161" s="84"/>
    </row>
    <row r="162" spans="1:14" ht="16.5" customHeight="1" x14ac:dyDescent="0.35">
      <c r="A162" s="108"/>
      <c r="B162" s="106"/>
      <c r="C162" s="136"/>
      <c r="D162" s="136"/>
      <c r="E162" s="136"/>
      <c r="F162" s="136"/>
      <c r="G162" s="178"/>
      <c r="H162" s="181"/>
      <c r="I162" s="179"/>
      <c r="J162" s="84"/>
      <c r="K162" s="84"/>
      <c r="L162" s="84"/>
      <c r="M162" s="84"/>
      <c r="N162" s="84"/>
    </row>
    <row r="163" spans="1:14" ht="21" x14ac:dyDescent="0.35">
      <c r="A163" s="102" t="s">
        <v>99</v>
      </c>
      <c r="B163" s="106"/>
      <c r="C163" s="136">
        <f>SUM(C165:C166)</f>
        <v>0</v>
      </c>
      <c r="D163" s="136">
        <f>SUM(D165:D166)</f>
        <v>0</v>
      </c>
      <c r="E163" s="136">
        <f>SUM(E165:E166)</f>
        <v>0</v>
      </c>
      <c r="F163" s="136">
        <f>SUM(F165:F166)</f>
        <v>0</v>
      </c>
      <c r="G163" s="178"/>
      <c r="H163" s="181"/>
      <c r="I163" s="179"/>
      <c r="J163" s="84"/>
      <c r="K163" s="84"/>
      <c r="L163" s="84"/>
      <c r="M163" s="84"/>
      <c r="N163" s="84"/>
    </row>
    <row r="164" spans="1:14" ht="15" customHeight="1" x14ac:dyDescent="0.35">
      <c r="A164" s="108"/>
      <c r="B164" s="109" t="s">
        <v>100</v>
      </c>
      <c r="C164" s="136"/>
      <c r="D164" s="136"/>
      <c r="E164" s="136"/>
      <c r="F164" s="136"/>
      <c r="G164" s="178"/>
      <c r="H164" s="181"/>
      <c r="I164" s="179"/>
      <c r="J164" s="84"/>
      <c r="K164" s="84"/>
      <c r="L164" s="84"/>
      <c r="M164" s="84"/>
      <c r="N164" s="84"/>
    </row>
    <row r="165" spans="1:14" ht="21" x14ac:dyDescent="0.35">
      <c r="A165" s="108"/>
      <c r="B165" s="109" t="s">
        <v>101</v>
      </c>
      <c r="C165" s="138">
        <f t="shared" ref="C165:F166" si="7">+C70+C118</f>
        <v>0</v>
      </c>
      <c r="D165" s="138">
        <f t="shared" si="7"/>
        <v>0</v>
      </c>
      <c r="E165" s="138">
        <f t="shared" si="7"/>
        <v>0</v>
      </c>
      <c r="F165" s="138">
        <f t="shared" si="7"/>
        <v>0</v>
      </c>
      <c r="G165" s="178"/>
      <c r="H165" s="181"/>
      <c r="I165" s="179"/>
      <c r="J165" s="84"/>
      <c r="K165" s="84"/>
      <c r="L165" s="84"/>
      <c r="M165" s="84"/>
      <c r="N165" s="84"/>
    </row>
    <row r="166" spans="1:14" ht="21" x14ac:dyDescent="0.35">
      <c r="A166" s="139"/>
      <c r="B166" s="140" t="s">
        <v>102</v>
      </c>
      <c r="C166" s="141">
        <f t="shared" si="7"/>
        <v>0</v>
      </c>
      <c r="D166" s="141">
        <f t="shared" si="7"/>
        <v>0</v>
      </c>
      <c r="E166" s="141">
        <f t="shared" si="7"/>
        <v>0</v>
      </c>
      <c r="F166" s="141">
        <f t="shared" si="7"/>
        <v>0</v>
      </c>
      <c r="G166" s="178"/>
      <c r="H166" s="181"/>
      <c r="I166" s="179"/>
      <c r="J166" s="84"/>
      <c r="K166" s="84"/>
      <c r="L166" s="84"/>
      <c r="M166" s="84"/>
      <c r="N166" s="84"/>
    </row>
    <row r="167" spans="1:14" ht="13.5" customHeight="1" x14ac:dyDescent="0.35">
      <c r="A167" s="123"/>
      <c r="B167" s="123"/>
      <c r="C167" s="142"/>
      <c r="D167" s="142"/>
      <c r="E167" s="142"/>
      <c r="F167" s="142"/>
      <c r="G167" s="178"/>
      <c r="H167" s="181"/>
      <c r="I167" s="179"/>
      <c r="J167" s="84"/>
      <c r="K167" s="84"/>
      <c r="L167" s="84"/>
      <c r="M167" s="84"/>
      <c r="N167" s="84"/>
    </row>
    <row r="168" spans="1:14" ht="21" x14ac:dyDescent="0.35">
      <c r="A168" s="151" t="s">
        <v>112</v>
      </c>
      <c r="B168" s="130"/>
      <c r="C168" s="152">
        <f>+C43</f>
        <v>88806148</v>
      </c>
      <c r="D168" s="152">
        <f>+D43</f>
        <v>89919148</v>
      </c>
      <c r="E168" s="152">
        <f>+E43</f>
        <v>63951761</v>
      </c>
      <c r="F168" s="152">
        <f>+F43</f>
        <v>61387079.890000001</v>
      </c>
      <c r="G168" s="178">
        <f>+D168-C168</f>
        <v>1113000</v>
      </c>
      <c r="H168" s="181">
        <f>+E168-F168</f>
        <v>2564681.1099999994</v>
      </c>
      <c r="I168" s="179">
        <f>+F168/E168*100</f>
        <v>95.989663036800494</v>
      </c>
      <c r="J168" s="84"/>
      <c r="K168" s="84"/>
      <c r="L168" s="84"/>
      <c r="M168" s="84"/>
      <c r="N168" s="84"/>
    </row>
    <row r="169" spans="1:14" ht="9.75" customHeight="1" x14ac:dyDescent="0.35">
      <c r="A169" s="129"/>
      <c r="B169" s="130"/>
      <c r="C169" s="153"/>
      <c r="D169" s="153"/>
      <c r="E169" s="153"/>
      <c r="F169" s="153"/>
      <c r="G169" s="178"/>
      <c r="H169" s="181"/>
      <c r="I169" s="179"/>
      <c r="J169" s="84"/>
      <c r="K169" s="84"/>
      <c r="L169" s="84"/>
      <c r="M169" s="84"/>
      <c r="N169" s="84"/>
    </row>
    <row r="170" spans="1:14" ht="21" x14ac:dyDescent="0.35">
      <c r="A170" s="151" t="s">
        <v>113</v>
      </c>
      <c r="B170" s="130"/>
      <c r="C170" s="152">
        <f>+C145</f>
        <v>88806148</v>
      </c>
      <c r="D170" s="152">
        <f>+D145</f>
        <v>89919148</v>
      </c>
      <c r="E170" s="152">
        <f>+E145</f>
        <v>63526271</v>
      </c>
      <c r="F170" s="152">
        <f>+F145</f>
        <v>49260056.800000004</v>
      </c>
      <c r="G170" s="178">
        <f>+D170-C170</f>
        <v>1113000</v>
      </c>
      <c r="H170" s="181">
        <f>+E170-F170</f>
        <v>14266214.199999996</v>
      </c>
      <c r="I170" s="179">
        <f>+F170/E170*100</f>
        <v>77.542811854956824</v>
      </c>
      <c r="J170" s="84"/>
      <c r="K170" s="84"/>
      <c r="L170" s="84"/>
      <c r="M170" s="84"/>
      <c r="N170" s="84"/>
    </row>
    <row r="171" spans="1:14" ht="9.75" customHeight="1" x14ac:dyDescent="0.35">
      <c r="A171" s="129"/>
      <c r="B171" s="130"/>
      <c r="C171" s="153"/>
      <c r="D171" s="153"/>
      <c r="E171" s="153"/>
      <c r="F171" s="153"/>
      <c r="G171" s="178"/>
      <c r="H171" s="181"/>
      <c r="I171" s="179"/>
      <c r="J171" s="84"/>
      <c r="K171" s="84"/>
      <c r="L171" s="84"/>
      <c r="M171" s="84"/>
      <c r="N171" s="84"/>
    </row>
    <row r="172" spans="1:14" ht="21" x14ac:dyDescent="0.35">
      <c r="A172" s="151" t="s">
        <v>114</v>
      </c>
      <c r="B172" s="130"/>
      <c r="C172" s="152">
        <f>+C168-C170</f>
        <v>0</v>
      </c>
      <c r="D172" s="152">
        <f t="shared" ref="D172:E172" si="8">+D168-D170</f>
        <v>0</v>
      </c>
      <c r="E172" s="152">
        <f t="shared" si="8"/>
        <v>425490</v>
      </c>
      <c r="F172" s="152">
        <f>+F168-F170</f>
        <v>12127023.089999996</v>
      </c>
      <c r="G172" s="178">
        <f>+D172-C172</f>
        <v>0</v>
      </c>
      <c r="H172" s="181">
        <f>+E172-F172</f>
        <v>-11701533.089999996</v>
      </c>
      <c r="I172" s="179">
        <f>SUM(F172/E172*100)</f>
        <v>2850.1311640696599</v>
      </c>
      <c r="J172" s="84"/>
      <c r="K172" s="84"/>
      <c r="L172" s="84"/>
      <c r="M172" s="84"/>
      <c r="N172" s="84"/>
    </row>
    <row r="173" spans="1:14" ht="9.75" customHeight="1" x14ac:dyDescent="0.35">
      <c r="A173" s="129"/>
      <c r="B173" s="130"/>
      <c r="C173" s="153"/>
      <c r="D173" s="153"/>
      <c r="E173" s="153"/>
      <c r="F173" s="153"/>
      <c r="G173" s="178"/>
      <c r="H173" s="181"/>
      <c r="I173" s="179"/>
      <c r="J173" s="84"/>
      <c r="K173" s="84"/>
      <c r="L173" s="84"/>
      <c r="M173" s="84"/>
      <c r="N173" s="84"/>
    </row>
    <row r="174" spans="1:14" ht="21" x14ac:dyDescent="0.35">
      <c r="A174" s="151" t="s">
        <v>115</v>
      </c>
      <c r="B174" s="130"/>
      <c r="C174" s="152">
        <f>+C11</f>
        <v>12150331.289999999</v>
      </c>
      <c r="D174" s="152">
        <f>+D172+D11</f>
        <v>25278460.969999999</v>
      </c>
      <c r="E174" s="152"/>
      <c r="F174" s="152">
        <f>+F172+F11</f>
        <v>12127023.089999996</v>
      </c>
      <c r="G174" s="178">
        <f>+D174-C174</f>
        <v>13128129.68</v>
      </c>
      <c r="H174" s="181">
        <f>+E174-F174</f>
        <v>-12127023.089999996</v>
      </c>
      <c r="I174" s="179" t="e">
        <f>+F174/E174*100</f>
        <v>#DIV/0!</v>
      </c>
      <c r="J174" s="84"/>
      <c r="K174" s="84"/>
      <c r="L174" s="84"/>
      <c r="M174" s="84"/>
      <c r="N174" s="84"/>
    </row>
    <row r="175" spans="1:14" ht="21" x14ac:dyDescent="0.35">
      <c r="A175" s="154" t="s">
        <v>116</v>
      </c>
      <c r="B175" s="123"/>
      <c r="C175" s="155"/>
      <c r="D175" s="123"/>
      <c r="E175" s="123"/>
      <c r="F175" s="123"/>
      <c r="G175" s="84"/>
      <c r="H175" s="84"/>
      <c r="I175" s="84"/>
      <c r="J175" s="84"/>
      <c r="K175" s="84"/>
      <c r="L175" s="84"/>
      <c r="M175" s="84"/>
      <c r="N175" s="84"/>
    </row>
    <row r="176" spans="1:14" ht="21" x14ac:dyDescent="0.35">
      <c r="A176" s="123"/>
      <c r="B176" s="123"/>
      <c r="C176" s="155"/>
      <c r="D176" s="123"/>
      <c r="E176" s="123"/>
      <c r="F176" s="123"/>
      <c r="G176" s="84">
        <f>238168.5+50124.74</f>
        <v>288293.24</v>
      </c>
      <c r="H176" s="84"/>
      <c r="I176" s="84"/>
      <c r="J176" s="84"/>
      <c r="K176" s="84"/>
      <c r="L176" s="84"/>
      <c r="M176" s="84"/>
      <c r="N176" s="84"/>
    </row>
    <row r="177" spans="1:14" ht="21" x14ac:dyDescent="0.35">
      <c r="A177" s="123"/>
      <c r="B177" s="156" t="s">
        <v>8</v>
      </c>
      <c r="C177" s="155"/>
      <c r="D177" s="164" t="s">
        <v>117</v>
      </c>
      <c r="E177" s="164"/>
      <c r="F177" s="123"/>
      <c r="G177" s="84"/>
      <c r="H177" s="84"/>
      <c r="I177" s="84"/>
      <c r="J177" s="84"/>
      <c r="K177" s="84"/>
      <c r="L177" s="84"/>
      <c r="M177" s="84"/>
      <c r="N177" s="84"/>
    </row>
    <row r="178" spans="1:14" ht="21" x14ac:dyDescent="0.35">
      <c r="A178" s="123"/>
      <c r="B178" s="156" t="s">
        <v>118</v>
      </c>
      <c r="C178" s="157"/>
      <c r="D178" s="164" t="s">
        <v>119</v>
      </c>
      <c r="E178" s="164"/>
      <c r="F178" s="123"/>
      <c r="G178" s="84"/>
      <c r="H178" s="84"/>
      <c r="I178" s="84"/>
      <c r="J178" s="84"/>
      <c r="K178" s="84"/>
      <c r="L178" s="84"/>
      <c r="M178" s="84"/>
      <c r="N178" s="84"/>
    </row>
    <row r="179" spans="1:14" ht="21" x14ac:dyDescent="0.35">
      <c r="A179" s="123"/>
      <c r="B179" s="158"/>
      <c r="C179" s="157"/>
      <c r="D179" s="158"/>
      <c r="E179" s="158"/>
      <c r="F179" s="123"/>
      <c r="G179" s="84"/>
      <c r="H179" s="84"/>
      <c r="I179" s="84"/>
      <c r="J179" s="84"/>
      <c r="K179" s="84"/>
      <c r="L179" s="84"/>
      <c r="M179" s="84">
        <f>1411.83-3000</f>
        <v>-1588.17</v>
      </c>
      <c r="N179" s="84"/>
    </row>
    <row r="180" spans="1:14" ht="21" x14ac:dyDescent="0.35">
      <c r="A180" s="123"/>
      <c r="B180" s="140"/>
      <c r="C180" s="157"/>
      <c r="D180" s="140"/>
      <c r="E180" s="140"/>
      <c r="F180" s="123"/>
      <c r="G180" s="84"/>
      <c r="H180" s="84"/>
      <c r="I180" s="84"/>
      <c r="J180" s="84"/>
      <c r="K180" s="84"/>
      <c r="L180" s="84"/>
      <c r="M180" s="84"/>
      <c r="N180" s="84"/>
    </row>
    <row r="181" spans="1:14" ht="21" x14ac:dyDescent="0.35">
      <c r="A181" s="123"/>
      <c r="B181" s="156" t="s">
        <v>120</v>
      </c>
      <c r="C181" s="157"/>
      <c r="D181" s="159" t="s">
        <v>120</v>
      </c>
      <c r="E181" s="159"/>
      <c r="F181" s="123"/>
      <c r="G181" s="84"/>
      <c r="H181" s="84"/>
      <c r="I181" s="84"/>
      <c r="J181" s="84"/>
      <c r="K181" s="84"/>
      <c r="L181" s="84"/>
      <c r="M181" s="84"/>
      <c r="N181" s="84"/>
    </row>
    <row r="184" spans="1:14" x14ac:dyDescent="0.2">
      <c r="E184" s="161"/>
    </row>
    <row r="185" spans="1:14" x14ac:dyDescent="0.2">
      <c r="D185" s="160"/>
      <c r="E185" s="162"/>
      <c r="F185" s="161"/>
    </row>
    <row r="186" spans="1:14" x14ac:dyDescent="0.2">
      <c r="D186" s="160"/>
    </row>
    <row r="187" spans="1:14" x14ac:dyDescent="0.2">
      <c r="D187" s="160"/>
    </row>
    <row r="188" spans="1:14" x14ac:dyDescent="0.2">
      <c r="D188" s="160"/>
      <c r="E188" s="160"/>
      <c r="F188" s="160"/>
    </row>
    <row r="190" spans="1:14" x14ac:dyDescent="0.2">
      <c r="F190" s="161"/>
    </row>
    <row r="191" spans="1:14" x14ac:dyDescent="0.2">
      <c r="F191" s="161"/>
    </row>
    <row r="192" spans="1:14" x14ac:dyDescent="0.2">
      <c r="F192" s="161"/>
    </row>
    <row r="193" spans="5:6" x14ac:dyDescent="0.2">
      <c r="F193" s="161"/>
    </row>
    <row r="194" spans="5:6" x14ac:dyDescent="0.2">
      <c r="F194" s="161"/>
    </row>
    <row r="195" spans="5:6" x14ac:dyDescent="0.2">
      <c r="F195" s="161"/>
    </row>
    <row r="197" spans="5:6" x14ac:dyDescent="0.2">
      <c r="E197" s="78" t="s">
        <v>121</v>
      </c>
    </row>
  </sheetData>
  <dataConsolidate link="1">
    <dataRefs count="1">
      <dataRef ref="N109" sheet="ANALITICO" r:id="rId1"/>
    </dataRefs>
  </dataConsolidate>
  <mergeCells count="3">
    <mergeCell ref="A96:F96"/>
    <mergeCell ref="D177:E177"/>
    <mergeCell ref="D178:E178"/>
  </mergeCells>
  <printOptions horizontalCentered="1"/>
  <pageMargins left="0.19685039370078741" right="0.19685039370078741" top="0.35433070866141736" bottom="0.19685039370078741" header="0" footer="0"/>
  <pageSetup scale="38" orientation="portrait" r:id="rId2"/>
  <headerFooter alignWithMargins="0"/>
  <rowBreaks count="1" manualBreakCount="1">
    <brk id="96" max="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F812"/>
  <sheetViews>
    <sheetView view="pageBreakPreview" zoomScale="70" zoomScaleNormal="70" zoomScaleSheetLayoutView="70" workbookViewId="0">
      <pane xSplit="16" ySplit="6" topLeftCell="Q148" activePane="bottomRight" state="frozen"/>
      <selection pane="topRight" activeCell="D1" sqref="D1"/>
      <selection pane="bottomLeft" activeCell="A3" sqref="A3"/>
      <selection pane="bottomRight" activeCell="U179" sqref="U179"/>
    </sheetView>
  </sheetViews>
  <sheetFormatPr baseColWidth="10" defaultRowHeight="16.5" x14ac:dyDescent="0.3"/>
  <cols>
    <col min="1" max="2" width="4.28515625" style="1" customWidth="1"/>
    <col min="3" max="3" width="4.42578125" style="1" customWidth="1"/>
    <col min="4" max="6" width="4.140625" style="1" customWidth="1"/>
    <col min="7" max="7" width="5.5703125" style="1" customWidth="1"/>
    <col min="8" max="8" width="4.140625" style="1" customWidth="1"/>
    <col min="9" max="9" width="5.140625" style="1" customWidth="1"/>
    <col min="10" max="10" width="4.140625" style="1" customWidth="1"/>
    <col min="11" max="12" width="4.5703125" style="1" customWidth="1"/>
    <col min="13" max="13" width="8.140625" style="1" customWidth="1"/>
    <col min="14" max="15" width="4.28515625" style="1" customWidth="1"/>
    <col min="16" max="16" width="7.5703125" style="1" customWidth="1"/>
    <col min="17" max="17" width="15.85546875" style="1" customWidth="1"/>
    <col min="18" max="18" width="23.7109375" style="1" bestFit="1" customWidth="1"/>
    <col min="19" max="21" width="21.42578125" style="1" bestFit="1" customWidth="1"/>
    <col min="22" max="22" width="21.28515625" style="1" customWidth="1"/>
    <col min="23" max="23" width="19.7109375" style="1" bestFit="1" customWidth="1"/>
    <col min="24" max="24" width="21.140625" style="1" bestFit="1" customWidth="1"/>
    <col min="25" max="25" width="25.5703125" style="39" customWidth="1"/>
    <col min="26" max="26" width="26.7109375" style="40" bestFit="1" customWidth="1"/>
    <col min="27" max="27" width="20.42578125" style="40" customWidth="1"/>
    <col min="28" max="28" width="24.85546875" style="40" bestFit="1" customWidth="1"/>
    <col min="29" max="29" width="21.42578125" style="40" customWidth="1"/>
    <col min="30" max="30" width="11.42578125" style="1"/>
    <col min="31" max="31" width="15.85546875" style="1" bestFit="1" customWidth="1"/>
    <col min="32" max="32" width="14.42578125" style="1" bestFit="1" customWidth="1"/>
    <col min="33" max="16384" width="11.42578125" style="1"/>
  </cols>
  <sheetData>
    <row r="1" spans="1:29" x14ac:dyDescent="0.3">
      <c r="N1" s="173" t="s">
        <v>55</v>
      </c>
      <c r="O1" s="173"/>
      <c r="P1" s="173"/>
      <c r="Q1" s="173"/>
      <c r="R1" s="173"/>
      <c r="S1" s="173"/>
      <c r="T1" s="173"/>
      <c r="U1" s="173"/>
      <c r="V1" s="173"/>
      <c r="W1" s="173"/>
      <c r="X1" s="173"/>
    </row>
    <row r="2" spans="1:29" x14ac:dyDescent="0.3">
      <c r="N2" s="173" t="s">
        <v>18</v>
      </c>
      <c r="O2" s="173"/>
      <c r="P2" s="173"/>
      <c r="Q2" s="173"/>
      <c r="R2" s="173"/>
      <c r="S2" s="173"/>
      <c r="T2" s="173"/>
      <c r="U2" s="173"/>
      <c r="V2" s="173"/>
      <c r="W2" s="173"/>
      <c r="X2" s="173"/>
    </row>
    <row r="3" spans="1:29" x14ac:dyDescent="0.3">
      <c r="N3" s="173" t="s">
        <v>19</v>
      </c>
      <c r="O3" s="173"/>
      <c r="P3" s="173"/>
      <c r="Q3" s="173"/>
      <c r="R3" s="173"/>
      <c r="S3" s="173"/>
      <c r="T3" s="173"/>
      <c r="U3" s="173"/>
      <c r="V3" s="173"/>
      <c r="W3" s="173"/>
      <c r="X3" s="173"/>
    </row>
    <row r="4" spans="1:29" x14ac:dyDescent="0.3">
      <c r="N4" s="173" t="s">
        <v>20</v>
      </c>
      <c r="O4" s="173"/>
      <c r="P4" s="173"/>
      <c r="Q4" s="173"/>
      <c r="R4" s="173"/>
      <c r="S4" s="173"/>
      <c r="T4" s="173"/>
      <c r="U4" s="173"/>
      <c r="V4" s="173"/>
      <c r="W4" s="173"/>
      <c r="X4" s="173"/>
    </row>
    <row r="5" spans="1:29" x14ac:dyDescent="0.3">
      <c r="N5" s="174" t="s">
        <v>58</v>
      </c>
      <c r="O5" s="174"/>
      <c r="P5" s="174"/>
      <c r="Q5" s="174"/>
      <c r="R5" s="174"/>
      <c r="S5" s="174"/>
      <c r="T5" s="174"/>
      <c r="U5" s="174"/>
      <c r="V5" s="174"/>
      <c r="W5" s="174"/>
      <c r="X5" s="174"/>
    </row>
    <row r="6" spans="1:29" ht="22.5" customHeight="1" thickBot="1" x14ac:dyDescent="0.35">
      <c r="A6" s="19"/>
      <c r="B6" s="19"/>
      <c r="C6" s="19"/>
      <c r="D6" s="19"/>
      <c r="E6" s="19"/>
      <c r="F6" s="19"/>
      <c r="G6" s="19"/>
      <c r="H6" s="19"/>
      <c r="I6" s="19"/>
      <c r="J6" s="19"/>
      <c r="K6" s="19"/>
      <c r="L6" s="19"/>
      <c r="M6" s="19"/>
      <c r="N6" s="19"/>
      <c r="O6" s="19"/>
      <c r="P6" s="19"/>
      <c r="Q6" s="19"/>
      <c r="R6" s="19"/>
      <c r="S6" s="20"/>
      <c r="T6" s="20"/>
      <c r="U6" s="20"/>
      <c r="V6" s="20"/>
      <c r="W6" s="21" t="s">
        <v>21</v>
      </c>
      <c r="X6" s="25">
        <v>43008</v>
      </c>
    </row>
    <row r="7" spans="1:29" ht="28.5" customHeight="1" thickBot="1" x14ac:dyDescent="0.25">
      <c r="A7" s="170" t="s">
        <v>43</v>
      </c>
      <c r="B7" s="170"/>
      <c r="C7" s="170"/>
      <c r="D7" s="170" t="s">
        <v>44</v>
      </c>
      <c r="E7" s="170"/>
      <c r="F7" s="170"/>
      <c r="G7" s="170"/>
      <c r="H7" s="170" t="s">
        <v>45</v>
      </c>
      <c r="I7" s="170" t="s">
        <v>28</v>
      </c>
      <c r="J7" s="170" t="s">
        <v>29</v>
      </c>
      <c r="K7" s="170"/>
      <c r="L7" s="170" t="s">
        <v>30</v>
      </c>
      <c r="M7" s="170" t="s">
        <v>46</v>
      </c>
      <c r="N7" s="170" t="s">
        <v>32</v>
      </c>
      <c r="O7" s="170" t="s">
        <v>33</v>
      </c>
      <c r="P7" s="170" t="s">
        <v>34</v>
      </c>
      <c r="Q7" s="170" t="s">
        <v>47</v>
      </c>
      <c r="R7" s="170" t="s">
        <v>2</v>
      </c>
      <c r="S7" s="170" t="s">
        <v>0</v>
      </c>
      <c r="T7" s="170" t="s">
        <v>10</v>
      </c>
      <c r="U7" s="170" t="s">
        <v>1</v>
      </c>
      <c r="V7" s="170"/>
      <c r="W7" s="170" t="s">
        <v>3</v>
      </c>
      <c r="X7" s="170" t="s">
        <v>6</v>
      </c>
      <c r="Y7" s="171" t="s">
        <v>12</v>
      </c>
      <c r="Z7" s="168" t="s">
        <v>49</v>
      </c>
      <c r="AA7" s="68" t="s">
        <v>56</v>
      </c>
      <c r="AB7" s="168" t="s">
        <v>17</v>
      </c>
      <c r="AC7" s="168" t="s">
        <v>9</v>
      </c>
    </row>
    <row r="8" spans="1:29" ht="15" thickBot="1" x14ac:dyDescent="0.25">
      <c r="A8" s="65" t="s">
        <v>39</v>
      </c>
      <c r="B8" s="65" t="s">
        <v>40</v>
      </c>
      <c r="C8" s="65" t="s">
        <v>41</v>
      </c>
      <c r="D8" s="66" t="s">
        <v>23</v>
      </c>
      <c r="E8" s="66" t="s">
        <v>24</v>
      </c>
      <c r="F8" s="66" t="s">
        <v>25</v>
      </c>
      <c r="G8" s="66" t="s">
        <v>26</v>
      </c>
      <c r="H8" s="66" t="s">
        <v>27</v>
      </c>
      <c r="I8" s="66" t="s">
        <v>28</v>
      </c>
      <c r="J8" s="66" t="s">
        <v>29</v>
      </c>
      <c r="K8" s="66" t="s">
        <v>52</v>
      </c>
      <c r="L8" s="66" t="s">
        <v>30</v>
      </c>
      <c r="M8" s="66" t="s">
        <v>31</v>
      </c>
      <c r="N8" s="66" t="s">
        <v>32</v>
      </c>
      <c r="O8" s="66" t="s">
        <v>33</v>
      </c>
      <c r="P8" s="66" t="s">
        <v>34</v>
      </c>
      <c r="Q8" s="177"/>
      <c r="R8" s="170"/>
      <c r="S8" s="170"/>
      <c r="T8" s="170"/>
      <c r="U8" s="67" t="s">
        <v>4</v>
      </c>
      <c r="V8" s="67" t="s">
        <v>5</v>
      </c>
      <c r="W8" s="170"/>
      <c r="X8" s="170"/>
      <c r="Y8" s="172"/>
      <c r="Z8" s="169"/>
      <c r="AA8" s="69"/>
      <c r="AB8" s="169"/>
      <c r="AC8" s="169"/>
    </row>
    <row r="9" spans="1:29" ht="18.75" x14ac:dyDescent="0.3">
      <c r="A9" s="9">
        <v>9</v>
      </c>
      <c r="B9" s="33" t="s">
        <v>48</v>
      </c>
      <c r="C9" s="33" t="s">
        <v>42</v>
      </c>
      <c r="D9" s="33">
        <v>1</v>
      </c>
      <c r="E9" s="33">
        <v>2</v>
      </c>
      <c r="F9" s="33">
        <v>4</v>
      </c>
      <c r="G9" s="33">
        <v>306</v>
      </c>
      <c r="H9" s="33">
        <v>4</v>
      </c>
      <c r="I9" s="33">
        <v>1</v>
      </c>
      <c r="J9" s="33">
        <v>2</v>
      </c>
      <c r="K9" s="33">
        <v>7</v>
      </c>
      <c r="L9" s="33">
        <v>0</v>
      </c>
      <c r="M9" s="33">
        <v>1547</v>
      </c>
      <c r="N9" s="33">
        <v>1</v>
      </c>
      <c r="O9" s="33">
        <v>1</v>
      </c>
      <c r="P9" s="9">
        <v>0</v>
      </c>
      <c r="Q9" s="10"/>
      <c r="R9" s="13">
        <v>80000</v>
      </c>
      <c r="S9" s="13">
        <v>80000</v>
      </c>
      <c r="T9" s="13">
        <v>80000</v>
      </c>
      <c r="U9" s="13">
        <v>0</v>
      </c>
      <c r="V9" s="13">
        <v>57000</v>
      </c>
      <c r="W9" s="13">
        <v>0</v>
      </c>
      <c r="X9" s="35">
        <v>0</v>
      </c>
      <c r="Y9" s="41">
        <f>+S9-V9-X9-W9</f>
        <v>23000</v>
      </c>
      <c r="Z9" s="42">
        <v>0</v>
      </c>
      <c r="AA9" s="42"/>
      <c r="AB9" s="43">
        <f>+Z9-X9</f>
        <v>0</v>
      </c>
      <c r="AC9" s="43">
        <f>+U9-AB9+W9</f>
        <v>0</v>
      </c>
    </row>
    <row r="10" spans="1:29" ht="18.75" x14ac:dyDescent="0.3">
      <c r="A10" s="9"/>
      <c r="B10" s="33"/>
      <c r="C10" s="33"/>
      <c r="D10" s="33"/>
      <c r="E10" s="33"/>
      <c r="F10" s="33"/>
      <c r="G10" s="33"/>
      <c r="H10" s="33"/>
      <c r="I10" s="33"/>
      <c r="J10" s="33"/>
      <c r="K10" s="33"/>
      <c r="L10" s="33"/>
      <c r="M10" s="33"/>
      <c r="N10" s="175" t="s">
        <v>13</v>
      </c>
      <c r="O10" s="175"/>
      <c r="P10" s="175"/>
      <c r="Q10" s="175"/>
      <c r="R10" s="14">
        <f>+R9</f>
        <v>80000</v>
      </c>
      <c r="S10" s="14">
        <f t="shared" ref="S10:X10" si="0">+S9</f>
        <v>80000</v>
      </c>
      <c r="T10" s="14">
        <f t="shared" si="0"/>
        <v>80000</v>
      </c>
      <c r="U10" s="14">
        <f t="shared" si="0"/>
        <v>0</v>
      </c>
      <c r="V10" s="14">
        <f t="shared" si="0"/>
        <v>57000</v>
      </c>
      <c r="W10" s="14">
        <f>+W9</f>
        <v>0</v>
      </c>
      <c r="X10" s="36">
        <f t="shared" si="0"/>
        <v>0</v>
      </c>
      <c r="Y10" s="44">
        <f>+Y9</f>
        <v>23000</v>
      </c>
      <c r="Z10" s="44">
        <f t="shared" ref="Z10:AC10" si="1">+Z9</f>
        <v>0</v>
      </c>
      <c r="AA10" s="44"/>
      <c r="AB10" s="44">
        <f t="shared" si="1"/>
        <v>0</v>
      </c>
      <c r="AC10" s="44">
        <f t="shared" si="1"/>
        <v>0</v>
      </c>
    </row>
    <row r="11" spans="1:29" ht="18.75" x14ac:dyDescent="0.3">
      <c r="A11" s="9">
        <v>9</v>
      </c>
      <c r="B11" s="33" t="s">
        <v>48</v>
      </c>
      <c r="C11" s="33" t="s">
        <v>42</v>
      </c>
      <c r="D11" s="33">
        <v>1</v>
      </c>
      <c r="E11" s="33">
        <v>2</v>
      </c>
      <c r="F11" s="33">
        <v>4</v>
      </c>
      <c r="G11" s="33">
        <v>306</v>
      </c>
      <c r="H11" s="33">
        <v>4</v>
      </c>
      <c r="I11" s="33">
        <v>1</v>
      </c>
      <c r="J11" s="33">
        <v>2</v>
      </c>
      <c r="K11" s="33">
        <v>7</v>
      </c>
      <c r="L11" s="33">
        <v>0</v>
      </c>
      <c r="M11" s="33">
        <v>3341</v>
      </c>
      <c r="N11" s="33">
        <v>1</v>
      </c>
      <c r="O11" s="33">
        <v>1</v>
      </c>
      <c r="P11" s="9">
        <v>0</v>
      </c>
      <c r="Q11" s="10"/>
      <c r="R11" s="13">
        <v>35000</v>
      </c>
      <c r="S11" s="13">
        <v>35000</v>
      </c>
      <c r="T11" s="13">
        <v>0</v>
      </c>
      <c r="U11" s="13">
        <v>0</v>
      </c>
      <c r="V11" s="13">
        <v>0</v>
      </c>
      <c r="W11" s="13">
        <v>0</v>
      </c>
      <c r="X11" s="35">
        <v>0</v>
      </c>
      <c r="Y11" s="41">
        <f>+S11-V11-X11-W11</f>
        <v>35000</v>
      </c>
      <c r="Z11" s="42">
        <v>0</v>
      </c>
      <c r="AA11" s="42"/>
      <c r="AB11" s="43">
        <f t="shared" ref="AB11:AB18" si="2">+Z11-X11</f>
        <v>0</v>
      </c>
      <c r="AC11" s="43">
        <f>+U11-AB11+W11</f>
        <v>0</v>
      </c>
    </row>
    <row r="12" spans="1:29" ht="19.5" thickBot="1" x14ac:dyDescent="0.35">
      <c r="A12" s="9"/>
      <c r="B12" s="9"/>
      <c r="C12" s="9"/>
      <c r="D12" s="9"/>
      <c r="E12" s="9"/>
      <c r="F12" s="9"/>
      <c r="G12" s="9"/>
      <c r="H12" s="9"/>
      <c r="I12" s="9"/>
      <c r="J12" s="9"/>
      <c r="K12" s="9"/>
      <c r="L12" s="9"/>
      <c r="M12" s="9"/>
      <c r="N12" s="175" t="s">
        <v>15</v>
      </c>
      <c r="O12" s="175"/>
      <c r="P12" s="175"/>
      <c r="Q12" s="175"/>
      <c r="R12" s="14">
        <f>+R11</f>
        <v>35000</v>
      </c>
      <c r="S12" s="14">
        <f t="shared" ref="S12:X12" si="3">+S11</f>
        <v>35000</v>
      </c>
      <c r="T12" s="14">
        <f t="shared" si="3"/>
        <v>0</v>
      </c>
      <c r="U12" s="14">
        <f t="shared" si="3"/>
        <v>0</v>
      </c>
      <c r="V12" s="14">
        <f t="shared" si="3"/>
        <v>0</v>
      </c>
      <c r="W12" s="14">
        <f>+W11</f>
        <v>0</v>
      </c>
      <c r="X12" s="36">
        <f t="shared" si="3"/>
        <v>0</v>
      </c>
      <c r="Y12" s="45">
        <f>+Y11</f>
        <v>35000</v>
      </c>
      <c r="Z12" s="45">
        <f t="shared" ref="Z12:AC12" si="4">+Z11</f>
        <v>0</v>
      </c>
      <c r="AA12" s="45"/>
      <c r="AB12" s="45">
        <f t="shared" si="4"/>
        <v>0</v>
      </c>
      <c r="AC12" s="45">
        <f t="shared" si="4"/>
        <v>0</v>
      </c>
    </row>
    <row r="13" spans="1:29" ht="20.25" thickTop="1" thickBot="1" x14ac:dyDescent="0.35">
      <c r="A13" s="176" t="s">
        <v>35</v>
      </c>
      <c r="B13" s="176"/>
      <c r="C13" s="176"/>
      <c r="D13" s="176"/>
      <c r="E13" s="176"/>
      <c r="F13" s="176"/>
      <c r="G13" s="176"/>
      <c r="H13" s="176"/>
      <c r="I13" s="176"/>
      <c r="J13" s="176"/>
      <c r="K13" s="176"/>
      <c r="L13" s="176"/>
      <c r="M13" s="176"/>
      <c r="N13" s="176"/>
      <c r="O13" s="176"/>
      <c r="P13" s="176"/>
      <c r="Q13" s="176"/>
      <c r="R13" s="15">
        <f>+R10+R12</f>
        <v>115000</v>
      </c>
      <c r="S13" s="15">
        <f t="shared" ref="S13:W13" si="5">+S10+S12</f>
        <v>115000</v>
      </c>
      <c r="T13" s="15">
        <f t="shared" si="5"/>
        <v>80000</v>
      </c>
      <c r="U13" s="15">
        <f t="shared" si="5"/>
        <v>0</v>
      </c>
      <c r="V13" s="15">
        <f t="shared" si="5"/>
        <v>57000</v>
      </c>
      <c r="W13" s="15">
        <f t="shared" si="5"/>
        <v>0</v>
      </c>
      <c r="X13" s="37">
        <f>+X10+X12</f>
        <v>0</v>
      </c>
      <c r="Y13" s="46">
        <f>+Y10+Y12</f>
        <v>58000</v>
      </c>
      <c r="Z13" s="46">
        <f t="shared" ref="Z13:AC13" si="6">+Z10+Z12</f>
        <v>0</v>
      </c>
      <c r="AA13" s="46"/>
      <c r="AB13" s="46">
        <f t="shared" si="6"/>
        <v>0</v>
      </c>
      <c r="AC13" s="46">
        <f t="shared" si="6"/>
        <v>0</v>
      </c>
    </row>
    <row r="14" spans="1:29" ht="19.5" thickTop="1" x14ac:dyDescent="0.3">
      <c r="A14" s="9">
        <v>9</v>
      </c>
      <c r="B14" s="33" t="s">
        <v>48</v>
      </c>
      <c r="C14" s="33" t="s">
        <v>42</v>
      </c>
      <c r="D14" s="33">
        <v>1</v>
      </c>
      <c r="E14" s="33">
        <v>7</v>
      </c>
      <c r="F14" s="33">
        <v>2</v>
      </c>
      <c r="G14" s="33">
        <v>301</v>
      </c>
      <c r="H14" s="33">
        <v>4</v>
      </c>
      <c r="I14" s="33">
        <v>1</v>
      </c>
      <c r="J14" s="33">
        <v>2</v>
      </c>
      <c r="K14" s="33">
        <v>7</v>
      </c>
      <c r="L14" s="33">
        <v>0</v>
      </c>
      <c r="M14" s="33">
        <v>2721</v>
      </c>
      <c r="N14" s="33">
        <v>1</v>
      </c>
      <c r="O14" s="33">
        <v>1</v>
      </c>
      <c r="P14" s="9">
        <v>0</v>
      </c>
      <c r="Q14" s="10"/>
      <c r="R14" s="11">
        <v>40000</v>
      </c>
      <c r="S14" s="11">
        <v>40000</v>
      </c>
      <c r="T14" s="11">
        <v>40000</v>
      </c>
      <c r="U14" s="11">
        <v>0</v>
      </c>
      <c r="V14" s="11">
        <v>0</v>
      </c>
      <c r="W14" s="11">
        <v>0</v>
      </c>
      <c r="X14" s="31">
        <v>0</v>
      </c>
      <c r="Y14" s="41">
        <f t="shared" ref="Y14:Y15" si="7">+S14-V14-X14-W14</f>
        <v>40000</v>
      </c>
      <c r="Z14" s="42">
        <v>0</v>
      </c>
      <c r="AA14" s="42"/>
      <c r="AB14" s="43">
        <f t="shared" si="2"/>
        <v>0</v>
      </c>
      <c r="AC14" s="43">
        <f t="shared" ref="AC14:AC15" si="8">+U14-AB14+W14</f>
        <v>0</v>
      </c>
    </row>
    <row r="15" spans="1:29" ht="18.75" x14ac:dyDescent="0.3">
      <c r="A15" s="9">
        <v>9</v>
      </c>
      <c r="B15" s="33" t="s">
        <v>48</v>
      </c>
      <c r="C15" s="33" t="s">
        <v>42</v>
      </c>
      <c r="D15" s="33">
        <v>1</v>
      </c>
      <c r="E15" s="33">
        <v>7</v>
      </c>
      <c r="F15" s="33">
        <v>2</v>
      </c>
      <c r="G15" s="33">
        <v>301</v>
      </c>
      <c r="H15" s="33">
        <v>4</v>
      </c>
      <c r="I15" s="33">
        <v>1</v>
      </c>
      <c r="J15" s="33">
        <v>2</v>
      </c>
      <c r="K15" s="33">
        <v>7</v>
      </c>
      <c r="L15" s="33">
        <v>0</v>
      </c>
      <c r="M15" s="33">
        <v>2731</v>
      </c>
      <c r="N15" s="33">
        <v>1</v>
      </c>
      <c r="O15" s="33">
        <v>1</v>
      </c>
      <c r="P15" s="9">
        <v>0</v>
      </c>
      <c r="Q15" s="10"/>
      <c r="R15" s="13">
        <v>2000</v>
      </c>
      <c r="S15" s="13">
        <v>2000</v>
      </c>
      <c r="T15" s="13">
        <v>2000</v>
      </c>
      <c r="U15" s="13">
        <v>0</v>
      </c>
      <c r="V15" s="13">
        <v>888</v>
      </c>
      <c r="W15" s="13">
        <v>0</v>
      </c>
      <c r="X15" s="35">
        <v>0</v>
      </c>
      <c r="Y15" s="41">
        <f t="shared" si="7"/>
        <v>1112</v>
      </c>
      <c r="Z15" s="42">
        <v>0</v>
      </c>
      <c r="AA15" s="42"/>
      <c r="AB15" s="43">
        <f t="shared" si="2"/>
        <v>0</v>
      </c>
      <c r="AC15" s="43">
        <f t="shared" si="8"/>
        <v>0</v>
      </c>
    </row>
    <row r="16" spans="1:29" ht="18.75" x14ac:dyDescent="0.3">
      <c r="A16" s="9"/>
      <c r="B16" s="9"/>
      <c r="C16" s="9"/>
      <c r="D16" s="9"/>
      <c r="E16" s="9"/>
      <c r="F16" s="9"/>
      <c r="G16" s="9"/>
      <c r="H16" s="9"/>
      <c r="I16" s="9"/>
      <c r="J16" s="9"/>
      <c r="K16" s="9"/>
      <c r="L16" s="9"/>
      <c r="M16" s="9"/>
      <c r="N16" s="175" t="s">
        <v>14</v>
      </c>
      <c r="O16" s="175"/>
      <c r="P16" s="175"/>
      <c r="Q16" s="175"/>
      <c r="R16" s="14">
        <f>SUM(R14:R15)</f>
        <v>42000</v>
      </c>
      <c r="S16" s="14">
        <f t="shared" ref="S16:X16" si="9">SUM(S14:S15)</f>
        <v>42000</v>
      </c>
      <c r="T16" s="14">
        <f t="shared" si="9"/>
        <v>42000</v>
      </c>
      <c r="U16" s="14">
        <f>SUM(U14:U15)</f>
        <v>0</v>
      </c>
      <c r="V16" s="14">
        <f t="shared" si="9"/>
        <v>888</v>
      </c>
      <c r="W16" s="14">
        <f>SUM(W14:W15)</f>
        <v>0</v>
      </c>
      <c r="X16" s="36">
        <f t="shared" si="9"/>
        <v>0</v>
      </c>
      <c r="Y16" s="44">
        <f>SUM(Y14:Y15)</f>
        <v>41112</v>
      </c>
      <c r="Z16" s="44">
        <f>SUM(Z14:Z15)</f>
        <v>0</v>
      </c>
      <c r="AA16" s="44"/>
      <c r="AB16" s="44">
        <f t="shared" ref="AB16:AC16" si="10">SUM(AB14:AB15)</f>
        <v>0</v>
      </c>
      <c r="AC16" s="44">
        <f t="shared" si="10"/>
        <v>0</v>
      </c>
    </row>
    <row r="17" spans="1:29" ht="18.75" x14ac:dyDescent="0.3">
      <c r="A17" s="9">
        <v>9</v>
      </c>
      <c r="B17" s="33" t="s">
        <v>48</v>
      </c>
      <c r="C17" s="33" t="s">
        <v>42</v>
      </c>
      <c r="D17" s="33">
        <v>1</v>
      </c>
      <c r="E17" s="33">
        <v>7</v>
      </c>
      <c r="F17" s="33">
        <v>2</v>
      </c>
      <c r="G17" s="33">
        <v>301</v>
      </c>
      <c r="H17" s="33">
        <v>4</v>
      </c>
      <c r="I17" s="33">
        <v>1</v>
      </c>
      <c r="J17" s="33">
        <v>2</v>
      </c>
      <c r="K17" s="33">
        <v>7</v>
      </c>
      <c r="L17" s="33">
        <v>0</v>
      </c>
      <c r="M17" s="9">
        <v>3341</v>
      </c>
      <c r="N17" s="33">
        <v>1</v>
      </c>
      <c r="O17" s="33">
        <v>1</v>
      </c>
      <c r="P17" s="9">
        <v>0</v>
      </c>
      <c r="Q17" s="64"/>
      <c r="R17" s="11">
        <v>60000</v>
      </c>
      <c r="S17" s="11">
        <v>60000</v>
      </c>
      <c r="T17" s="11">
        <v>0</v>
      </c>
      <c r="U17" s="11">
        <v>0</v>
      </c>
      <c r="V17" s="11">
        <v>0</v>
      </c>
      <c r="W17" s="11"/>
      <c r="X17" s="31">
        <v>0</v>
      </c>
      <c r="Y17" s="50">
        <f t="shared" ref="Y17:Y18" si="11">+S17-V17-X17-W17</f>
        <v>60000</v>
      </c>
      <c r="Z17" s="50">
        <v>0</v>
      </c>
      <c r="AA17" s="51"/>
      <c r="AB17" s="70">
        <f t="shared" si="2"/>
        <v>0</v>
      </c>
      <c r="AC17" s="70">
        <f t="shared" ref="AC17:AC18" si="12">+U17-AB17</f>
        <v>0</v>
      </c>
    </row>
    <row r="18" spans="1:29" ht="18.75" x14ac:dyDescent="0.3">
      <c r="A18" s="9">
        <v>9</v>
      </c>
      <c r="B18" s="33" t="s">
        <v>48</v>
      </c>
      <c r="C18" s="33" t="s">
        <v>42</v>
      </c>
      <c r="D18" s="33">
        <v>1</v>
      </c>
      <c r="E18" s="33">
        <v>7</v>
      </c>
      <c r="F18" s="33">
        <v>2</v>
      </c>
      <c r="G18" s="33">
        <v>301</v>
      </c>
      <c r="H18" s="33">
        <v>4</v>
      </c>
      <c r="I18" s="33">
        <v>1</v>
      </c>
      <c r="J18" s="33">
        <v>2</v>
      </c>
      <c r="K18" s="33">
        <v>7</v>
      </c>
      <c r="L18" s="33">
        <v>0</v>
      </c>
      <c r="M18" s="33">
        <v>3521</v>
      </c>
      <c r="N18" s="33">
        <v>1</v>
      </c>
      <c r="O18" s="33">
        <v>1</v>
      </c>
      <c r="P18" s="9">
        <v>0</v>
      </c>
      <c r="Q18" s="10"/>
      <c r="R18" s="13">
        <v>20000</v>
      </c>
      <c r="S18" s="13">
        <v>20000</v>
      </c>
      <c r="T18" s="13">
        <v>20000</v>
      </c>
      <c r="U18" s="13">
        <v>0</v>
      </c>
      <c r="V18" s="13">
        <v>0</v>
      </c>
      <c r="W18" s="13">
        <v>0</v>
      </c>
      <c r="X18" s="35">
        <v>0</v>
      </c>
      <c r="Y18" s="47">
        <f t="shared" si="11"/>
        <v>20000</v>
      </c>
      <c r="Z18" s="47">
        <v>0</v>
      </c>
      <c r="AA18" s="47"/>
      <c r="AB18" s="48">
        <f t="shared" si="2"/>
        <v>0</v>
      </c>
      <c r="AC18" s="48">
        <f t="shared" si="12"/>
        <v>0</v>
      </c>
    </row>
    <row r="19" spans="1:29" ht="19.5" thickBot="1" x14ac:dyDescent="0.35">
      <c r="A19" s="9"/>
      <c r="B19" s="9"/>
      <c r="C19" s="9"/>
      <c r="D19" s="9"/>
      <c r="E19" s="9"/>
      <c r="F19" s="9"/>
      <c r="G19" s="9"/>
      <c r="H19" s="9"/>
      <c r="I19" s="9"/>
      <c r="J19" s="9"/>
      <c r="K19" s="9"/>
      <c r="L19" s="9"/>
      <c r="M19" s="9"/>
      <c r="N19" s="175" t="s">
        <v>15</v>
      </c>
      <c r="O19" s="175"/>
      <c r="P19" s="175"/>
      <c r="Q19" s="175"/>
      <c r="R19" s="14">
        <f>SUM(R17:R18)</f>
        <v>80000</v>
      </c>
      <c r="S19" s="14">
        <f t="shared" ref="S19:W19" si="13">SUM(S17:S18)</f>
        <v>80000</v>
      </c>
      <c r="T19" s="14">
        <f t="shared" si="13"/>
        <v>20000</v>
      </c>
      <c r="U19" s="14">
        <f t="shared" si="13"/>
        <v>0</v>
      </c>
      <c r="V19" s="14">
        <f t="shared" si="13"/>
        <v>0</v>
      </c>
      <c r="W19" s="14">
        <f t="shared" si="13"/>
        <v>0</v>
      </c>
      <c r="X19" s="14">
        <f>SUM(X17:X18)</f>
        <v>0</v>
      </c>
      <c r="Y19" s="49">
        <f>SUM(Y17:Y18)</f>
        <v>80000</v>
      </c>
      <c r="Z19" s="49">
        <f>SUM(Z17:Z18)</f>
        <v>0</v>
      </c>
      <c r="AA19" s="49"/>
      <c r="AB19" s="49">
        <f>SUM(AB17:AB18)</f>
        <v>0</v>
      </c>
      <c r="AC19" s="49">
        <f>SUM(AC17:AC18)</f>
        <v>0</v>
      </c>
    </row>
    <row r="20" spans="1:29" ht="20.25" thickTop="1" thickBot="1" x14ac:dyDescent="0.35">
      <c r="A20" s="176" t="s">
        <v>36</v>
      </c>
      <c r="B20" s="176"/>
      <c r="C20" s="176"/>
      <c r="D20" s="176"/>
      <c r="E20" s="176"/>
      <c r="F20" s="176"/>
      <c r="G20" s="176"/>
      <c r="H20" s="176"/>
      <c r="I20" s="176"/>
      <c r="J20" s="176"/>
      <c r="K20" s="176"/>
      <c r="L20" s="176"/>
      <c r="M20" s="176"/>
      <c r="N20" s="176"/>
      <c r="O20" s="176"/>
      <c r="P20" s="176"/>
      <c r="Q20" s="176"/>
      <c r="R20" s="15">
        <f>+R16+R19</f>
        <v>122000</v>
      </c>
      <c r="S20" s="15">
        <f t="shared" ref="S20:X20" si="14">+S16+S19</f>
        <v>122000</v>
      </c>
      <c r="T20" s="15">
        <f t="shared" si="14"/>
        <v>62000</v>
      </c>
      <c r="U20" s="15">
        <f>+U16+U19</f>
        <v>0</v>
      </c>
      <c r="V20" s="15">
        <f t="shared" si="14"/>
        <v>888</v>
      </c>
      <c r="W20" s="15">
        <f>+W16+W19</f>
        <v>0</v>
      </c>
      <c r="X20" s="37">
        <f t="shared" si="14"/>
        <v>0</v>
      </c>
      <c r="Y20" s="46">
        <f>+Y16+Y19</f>
        <v>121112</v>
      </c>
      <c r="Z20" s="46">
        <f t="shared" ref="Z20:AC20" si="15">+Z16+Z19</f>
        <v>0</v>
      </c>
      <c r="AA20" s="46"/>
      <c r="AB20" s="46">
        <f t="shared" si="15"/>
        <v>0</v>
      </c>
      <c r="AC20" s="46">
        <f t="shared" si="15"/>
        <v>0</v>
      </c>
    </row>
    <row r="21" spans="1:29" ht="19.5" thickTop="1" x14ac:dyDescent="0.3">
      <c r="A21" s="9">
        <v>9</v>
      </c>
      <c r="B21" s="33" t="s">
        <v>48</v>
      </c>
      <c r="C21" s="33" t="s">
        <v>42</v>
      </c>
      <c r="D21" s="33">
        <v>1</v>
      </c>
      <c r="E21" s="33">
        <v>8</v>
      </c>
      <c r="F21" s="33">
        <v>5</v>
      </c>
      <c r="G21" s="33">
        <v>301</v>
      </c>
      <c r="H21" s="33">
        <v>4</v>
      </c>
      <c r="I21" s="33">
        <v>1</v>
      </c>
      <c r="J21" s="33">
        <v>2</v>
      </c>
      <c r="K21" s="33">
        <v>7</v>
      </c>
      <c r="L21" s="33">
        <v>0</v>
      </c>
      <c r="M21" s="33">
        <v>1131</v>
      </c>
      <c r="N21" s="33">
        <v>1</v>
      </c>
      <c r="O21" s="33">
        <v>1</v>
      </c>
      <c r="P21" s="9">
        <v>0</v>
      </c>
      <c r="Q21" s="10"/>
      <c r="R21" s="11">
        <v>1881000</v>
      </c>
      <c r="S21" s="11">
        <v>1881000</v>
      </c>
      <c r="T21" s="11">
        <v>1458000</v>
      </c>
      <c r="U21" s="11">
        <v>43463.4</v>
      </c>
      <c r="V21" s="11">
        <v>786003.99000000011</v>
      </c>
      <c r="W21" s="11">
        <v>0</v>
      </c>
      <c r="X21" s="31">
        <v>1094996.0099999998</v>
      </c>
      <c r="Y21" s="41">
        <f t="shared" ref="Y21:Y37" si="16">+S21-V21-X21-W21</f>
        <v>0</v>
      </c>
      <c r="Z21" s="42">
        <v>1138459.4099999999</v>
      </c>
      <c r="AA21" s="42"/>
      <c r="AB21" s="43">
        <f>+Z21-X21+AA21-W21</f>
        <v>43463.40000000014</v>
      </c>
      <c r="AC21" s="70">
        <f>+U21-AB21</f>
        <v>-1.3824319466948509E-10</v>
      </c>
    </row>
    <row r="22" spans="1:29" ht="18.75" x14ac:dyDescent="0.3">
      <c r="A22" s="9">
        <v>9</v>
      </c>
      <c r="B22" s="33" t="s">
        <v>48</v>
      </c>
      <c r="C22" s="33" t="s">
        <v>42</v>
      </c>
      <c r="D22" s="33">
        <v>1</v>
      </c>
      <c r="E22" s="33">
        <v>8</v>
      </c>
      <c r="F22" s="33">
        <v>5</v>
      </c>
      <c r="G22" s="33">
        <v>301</v>
      </c>
      <c r="H22" s="33">
        <v>1</v>
      </c>
      <c r="I22" s="33">
        <v>1</v>
      </c>
      <c r="J22" s="33">
        <v>1</v>
      </c>
      <c r="K22" s="33">
        <v>7</v>
      </c>
      <c r="L22" s="33">
        <v>0</v>
      </c>
      <c r="M22" s="33">
        <v>1131</v>
      </c>
      <c r="N22" s="33">
        <v>1</v>
      </c>
      <c r="O22" s="33">
        <v>1</v>
      </c>
      <c r="P22" s="9">
        <v>0</v>
      </c>
      <c r="Q22" s="10"/>
      <c r="R22" s="11">
        <v>5500034</v>
      </c>
      <c r="S22" s="11">
        <v>5500034</v>
      </c>
      <c r="T22" s="11">
        <v>4000024</v>
      </c>
      <c r="U22" s="11">
        <v>500003</v>
      </c>
      <c r="V22" s="11">
        <v>4000024</v>
      </c>
      <c r="W22" s="11">
        <v>0</v>
      </c>
      <c r="X22" s="31">
        <v>1500010</v>
      </c>
      <c r="Y22" s="41">
        <f t="shared" si="16"/>
        <v>0</v>
      </c>
      <c r="Z22" s="42">
        <v>2000013</v>
      </c>
      <c r="AA22" s="42"/>
      <c r="AB22" s="43">
        <f t="shared" ref="AB22:AB37" si="17">+Z22-X22+AA22-W22</f>
        <v>500003</v>
      </c>
      <c r="AC22" s="70">
        <f t="shared" ref="AC22:AC37" si="18">+U22-AB22</f>
        <v>0</v>
      </c>
    </row>
    <row r="23" spans="1:29" ht="18.75" x14ac:dyDescent="0.3">
      <c r="A23" s="9">
        <v>9</v>
      </c>
      <c r="B23" s="33" t="s">
        <v>48</v>
      </c>
      <c r="C23" s="33" t="s">
        <v>42</v>
      </c>
      <c r="D23" s="33">
        <v>1</v>
      </c>
      <c r="E23" s="33">
        <v>8</v>
      </c>
      <c r="F23" s="33">
        <v>5</v>
      </c>
      <c r="G23" s="33">
        <v>301</v>
      </c>
      <c r="H23" s="33">
        <v>4</v>
      </c>
      <c r="I23" s="33">
        <v>1</v>
      </c>
      <c r="J23" s="33">
        <v>2</v>
      </c>
      <c r="K23" s="33">
        <v>7</v>
      </c>
      <c r="L23" s="33">
        <v>0</v>
      </c>
      <c r="M23" s="33">
        <v>1321</v>
      </c>
      <c r="N23" s="33">
        <v>1</v>
      </c>
      <c r="O23" s="33">
        <v>1</v>
      </c>
      <c r="P23" s="9">
        <v>0</v>
      </c>
      <c r="Q23" s="10"/>
      <c r="R23" s="11">
        <v>313915</v>
      </c>
      <c r="S23" s="11">
        <v>313915</v>
      </c>
      <c r="T23" s="11">
        <v>306415</v>
      </c>
      <c r="U23" s="11">
        <v>0</v>
      </c>
      <c r="V23" s="11">
        <v>284356.56000000006</v>
      </c>
      <c r="W23" s="11">
        <v>0</v>
      </c>
      <c r="X23" s="31">
        <v>29558.439999999944</v>
      </c>
      <c r="Y23" s="41">
        <f t="shared" si="16"/>
        <v>0</v>
      </c>
      <c r="Z23" s="42">
        <v>29558.439999999944</v>
      </c>
      <c r="AA23" s="42"/>
      <c r="AB23" s="43">
        <f t="shared" si="17"/>
        <v>0</v>
      </c>
      <c r="AC23" s="70">
        <f t="shared" si="18"/>
        <v>0</v>
      </c>
    </row>
    <row r="24" spans="1:29" ht="18.75" x14ac:dyDescent="0.3">
      <c r="A24" s="9">
        <v>9</v>
      </c>
      <c r="B24" s="33" t="s">
        <v>48</v>
      </c>
      <c r="C24" s="33" t="s">
        <v>42</v>
      </c>
      <c r="D24" s="33">
        <v>1</v>
      </c>
      <c r="E24" s="33">
        <v>8</v>
      </c>
      <c r="F24" s="33">
        <v>5</v>
      </c>
      <c r="G24" s="33">
        <v>301</v>
      </c>
      <c r="H24" s="33">
        <v>4</v>
      </c>
      <c r="I24" s="33">
        <v>1</v>
      </c>
      <c r="J24" s="33">
        <v>2</v>
      </c>
      <c r="K24" s="33">
        <v>7</v>
      </c>
      <c r="L24" s="33">
        <v>0</v>
      </c>
      <c r="M24" s="33">
        <v>1323</v>
      </c>
      <c r="N24" s="33">
        <v>1</v>
      </c>
      <c r="O24" s="33">
        <v>1</v>
      </c>
      <c r="P24" s="9">
        <v>0</v>
      </c>
      <c r="Q24" s="10"/>
      <c r="R24" s="11">
        <v>599967</v>
      </c>
      <c r="S24" s="11">
        <v>599967</v>
      </c>
      <c r="T24" s="11">
        <v>100000</v>
      </c>
      <c r="U24" s="11">
        <v>0</v>
      </c>
      <c r="V24" s="11">
        <v>9782.14</v>
      </c>
      <c r="W24" s="11">
        <v>0</v>
      </c>
      <c r="X24" s="31">
        <v>590184.86</v>
      </c>
      <c r="Y24" s="41">
        <f t="shared" si="16"/>
        <v>0</v>
      </c>
      <c r="Z24" s="42">
        <v>590184.86</v>
      </c>
      <c r="AA24" s="42"/>
      <c r="AB24" s="43">
        <f t="shared" si="17"/>
        <v>0</v>
      </c>
      <c r="AC24" s="70">
        <f t="shared" si="18"/>
        <v>0</v>
      </c>
    </row>
    <row r="25" spans="1:29" ht="18.75" x14ac:dyDescent="0.3">
      <c r="A25" s="9">
        <v>9</v>
      </c>
      <c r="B25" s="33" t="s">
        <v>48</v>
      </c>
      <c r="C25" s="33" t="s">
        <v>42</v>
      </c>
      <c r="D25" s="33">
        <v>1</v>
      </c>
      <c r="E25" s="33">
        <v>8</v>
      </c>
      <c r="F25" s="33">
        <v>5</v>
      </c>
      <c r="G25" s="33">
        <v>301</v>
      </c>
      <c r="H25" s="33">
        <v>1</v>
      </c>
      <c r="I25" s="33">
        <v>1</v>
      </c>
      <c r="J25" s="33">
        <v>1</v>
      </c>
      <c r="K25" s="33">
        <v>7</v>
      </c>
      <c r="L25" s="33">
        <v>0</v>
      </c>
      <c r="M25" s="33">
        <v>1323</v>
      </c>
      <c r="N25" s="33">
        <v>1</v>
      </c>
      <c r="O25" s="33">
        <v>1</v>
      </c>
      <c r="P25" s="9">
        <v>0</v>
      </c>
      <c r="Q25" s="10"/>
      <c r="R25" s="11">
        <v>1000000</v>
      </c>
      <c r="S25" s="11">
        <v>1000000</v>
      </c>
      <c r="T25" s="11">
        <v>0</v>
      </c>
      <c r="U25" s="11">
        <v>0</v>
      </c>
      <c r="V25" s="11">
        <v>0</v>
      </c>
      <c r="W25" s="11">
        <v>0</v>
      </c>
      <c r="X25" s="31">
        <v>1000000</v>
      </c>
      <c r="Y25" s="41">
        <f t="shared" si="16"/>
        <v>0</v>
      </c>
      <c r="Z25" s="42">
        <v>1000000</v>
      </c>
      <c r="AA25" s="42"/>
      <c r="AB25" s="43">
        <f t="shared" si="17"/>
        <v>0</v>
      </c>
      <c r="AC25" s="70">
        <f t="shared" si="18"/>
        <v>0</v>
      </c>
    </row>
    <row r="26" spans="1:29" ht="18.75" x14ac:dyDescent="0.3">
      <c r="A26" s="9">
        <v>9</v>
      </c>
      <c r="B26" s="33" t="s">
        <v>48</v>
      </c>
      <c r="C26" s="33" t="s">
        <v>42</v>
      </c>
      <c r="D26" s="33">
        <v>1</v>
      </c>
      <c r="E26" s="33">
        <v>8</v>
      </c>
      <c r="F26" s="33">
        <v>5</v>
      </c>
      <c r="G26" s="33">
        <v>301</v>
      </c>
      <c r="H26" s="33">
        <v>4</v>
      </c>
      <c r="I26" s="33">
        <v>1</v>
      </c>
      <c r="J26" s="33">
        <v>2</v>
      </c>
      <c r="K26" s="33">
        <v>7</v>
      </c>
      <c r="L26" s="33">
        <v>0</v>
      </c>
      <c r="M26" s="33">
        <v>1331</v>
      </c>
      <c r="N26" s="33">
        <v>1</v>
      </c>
      <c r="O26" s="33">
        <v>1</v>
      </c>
      <c r="P26" s="9">
        <v>0</v>
      </c>
      <c r="Q26" s="10"/>
      <c r="R26" s="11">
        <v>5000</v>
      </c>
      <c r="S26" s="11">
        <v>5000</v>
      </c>
      <c r="T26" s="11">
        <v>5000</v>
      </c>
      <c r="U26" s="11">
        <v>0</v>
      </c>
      <c r="V26" s="11">
        <v>0</v>
      </c>
      <c r="W26" s="11">
        <v>0</v>
      </c>
      <c r="X26" s="31">
        <v>0</v>
      </c>
      <c r="Y26" s="41">
        <f t="shared" si="16"/>
        <v>5000</v>
      </c>
      <c r="Z26" s="42">
        <v>0</v>
      </c>
      <c r="AA26" s="42"/>
      <c r="AB26" s="43">
        <f t="shared" si="17"/>
        <v>0</v>
      </c>
      <c r="AC26" s="70">
        <f t="shared" si="18"/>
        <v>0</v>
      </c>
    </row>
    <row r="27" spans="1:29" ht="18.75" x14ac:dyDescent="0.3">
      <c r="A27" s="9">
        <v>9</v>
      </c>
      <c r="B27" s="33" t="s">
        <v>48</v>
      </c>
      <c r="C27" s="33" t="s">
        <v>42</v>
      </c>
      <c r="D27" s="33">
        <v>1</v>
      </c>
      <c r="E27" s="33">
        <v>8</v>
      </c>
      <c r="F27" s="33">
        <v>5</v>
      </c>
      <c r="G27" s="33">
        <v>301</v>
      </c>
      <c r="H27" s="33">
        <v>4</v>
      </c>
      <c r="I27" s="33">
        <v>1</v>
      </c>
      <c r="J27" s="33">
        <v>2</v>
      </c>
      <c r="K27" s="33">
        <v>7</v>
      </c>
      <c r="L27" s="33">
        <v>0</v>
      </c>
      <c r="M27" s="33">
        <v>1412</v>
      </c>
      <c r="N27" s="33">
        <v>1</v>
      </c>
      <c r="O27" s="33">
        <v>1</v>
      </c>
      <c r="P27" s="9">
        <v>0</v>
      </c>
      <c r="Q27" s="10"/>
      <c r="R27" s="11">
        <v>1183302</v>
      </c>
      <c r="S27" s="11">
        <v>1183302</v>
      </c>
      <c r="T27" s="11">
        <v>937481</v>
      </c>
      <c r="U27" s="11">
        <v>98609</v>
      </c>
      <c r="V27" s="11">
        <v>788872</v>
      </c>
      <c r="W27" s="11">
        <v>0</v>
      </c>
      <c r="X27" s="31">
        <v>394430</v>
      </c>
      <c r="Y27" s="41">
        <f t="shared" si="16"/>
        <v>0</v>
      </c>
      <c r="Z27" s="42">
        <v>493039</v>
      </c>
      <c r="AA27" s="42"/>
      <c r="AB27" s="43">
        <f t="shared" si="17"/>
        <v>98609</v>
      </c>
      <c r="AC27" s="70">
        <f t="shared" si="18"/>
        <v>0</v>
      </c>
    </row>
    <row r="28" spans="1:29" s="2" customFormat="1" ht="18.75" x14ac:dyDescent="0.3">
      <c r="A28" s="9">
        <v>9</v>
      </c>
      <c r="B28" s="33" t="s">
        <v>48</v>
      </c>
      <c r="C28" s="33" t="s">
        <v>42</v>
      </c>
      <c r="D28" s="33">
        <v>1</v>
      </c>
      <c r="E28" s="33">
        <v>8</v>
      </c>
      <c r="F28" s="33">
        <v>5</v>
      </c>
      <c r="G28" s="33">
        <v>301</v>
      </c>
      <c r="H28" s="33">
        <v>4</v>
      </c>
      <c r="I28" s="33">
        <v>1</v>
      </c>
      <c r="J28" s="33">
        <v>2</v>
      </c>
      <c r="K28" s="33">
        <v>7</v>
      </c>
      <c r="L28" s="33">
        <v>0</v>
      </c>
      <c r="M28" s="33">
        <v>1422</v>
      </c>
      <c r="N28" s="33">
        <v>1</v>
      </c>
      <c r="O28" s="33">
        <v>1</v>
      </c>
      <c r="P28" s="9">
        <v>0</v>
      </c>
      <c r="Q28" s="12"/>
      <c r="R28" s="11">
        <v>607569</v>
      </c>
      <c r="S28" s="11">
        <v>607569</v>
      </c>
      <c r="T28" s="11">
        <v>485679</v>
      </c>
      <c r="U28" s="11">
        <v>101262</v>
      </c>
      <c r="V28" s="11">
        <v>405048</v>
      </c>
      <c r="W28" s="11">
        <v>0</v>
      </c>
      <c r="X28" s="31">
        <v>202521</v>
      </c>
      <c r="Y28" s="41">
        <f t="shared" si="16"/>
        <v>0</v>
      </c>
      <c r="Z28" s="42">
        <v>303783</v>
      </c>
      <c r="AA28" s="42"/>
      <c r="AB28" s="43">
        <f t="shared" si="17"/>
        <v>101262</v>
      </c>
      <c r="AC28" s="70">
        <f t="shared" si="18"/>
        <v>0</v>
      </c>
    </row>
    <row r="29" spans="1:29" s="2" customFormat="1" ht="18.75" x14ac:dyDescent="0.3">
      <c r="A29" s="9">
        <v>9</v>
      </c>
      <c r="B29" s="33" t="s">
        <v>48</v>
      </c>
      <c r="C29" s="33" t="s">
        <v>42</v>
      </c>
      <c r="D29" s="33">
        <v>1</v>
      </c>
      <c r="E29" s="33">
        <v>8</v>
      </c>
      <c r="F29" s="33">
        <v>5</v>
      </c>
      <c r="G29" s="33">
        <v>301</v>
      </c>
      <c r="H29" s="33">
        <v>4</v>
      </c>
      <c r="I29" s="33">
        <v>1</v>
      </c>
      <c r="J29" s="33">
        <v>2</v>
      </c>
      <c r="K29" s="33">
        <v>7</v>
      </c>
      <c r="L29" s="33">
        <v>0</v>
      </c>
      <c r="M29" s="33">
        <v>1431</v>
      </c>
      <c r="N29" s="33">
        <v>1</v>
      </c>
      <c r="O29" s="33">
        <v>1</v>
      </c>
      <c r="P29" s="9">
        <v>0</v>
      </c>
      <c r="Q29" s="12"/>
      <c r="R29" s="11">
        <v>762500</v>
      </c>
      <c r="S29" s="11">
        <v>762500</v>
      </c>
      <c r="T29" s="11">
        <v>601878</v>
      </c>
      <c r="U29" s="11">
        <v>127084</v>
      </c>
      <c r="V29" s="11">
        <v>508336</v>
      </c>
      <c r="W29" s="11">
        <v>0</v>
      </c>
      <c r="X29" s="31">
        <v>254164</v>
      </c>
      <c r="Y29" s="41">
        <f t="shared" si="16"/>
        <v>0</v>
      </c>
      <c r="Z29" s="42">
        <v>381248</v>
      </c>
      <c r="AA29" s="42"/>
      <c r="AB29" s="43">
        <f t="shared" si="17"/>
        <v>127084</v>
      </c>
      <c r="AC29" s="70">
        <f t="shared" si="18"/>
        <v>0</v>
      </c>
    </row>
    <row r="30" spans="1:29" ht="18.75" x14ac:dyDescent="0.3">
      <c r="A30" s="9">
        <v>9</v>
      </c>
      <c r="B30" s="33" t="s">
        <v>48</v>
      </c>
      <c r="C30" s="33" t="s">
        <v>42</v>
      </c>
      <c r="D30" s="33">
        <v>1</v>
      </c>
      <c r="E30" s="33">
        <v>8</v>
      </c>
      <c r="F30" s="33">
        <v>5</v>
      </c>
      <c r="G30" s="33">
        <v>301</v>
      </c>
      <c r="H30" s="33">
        <v>4</v>
      </c>
      <c r="I30" s="33">
        <v>1</v>
      </c>
      <c r="J30" s="33">
        <v>2</v>
      </c>
      <c r="K30" s="33">
        <v>7</v>
      </c>
      <c r="L30" s="33">
        <v>0</v>
      </c>
      <c r="M30" s="33">
        <v>1441</v>
      </c>
      <c r="N30" s="33">
        <v>1</v>
      </c>
      <c r="O30" s="33">
        <v>1</v>
      </c>
      <c r="P30" s="9">
        <v>0</v>
      </c>
      <c r="Q30" s="10"/>
      <c r="R30" s="11">
        <v>355980</v>
      </c>
      <c r="S30" s="11">
        <v>355980</v>
      </c>
      <c r="T30" s="11">
        <v>266985</v>
      </c>
      <c r="U30" s="11">
        <v>29665</v>
      </c>
      <c r="V30" s="11">
        <v>195862.1</v>
      </c>
      <c r="W30" s="11">
        <v>0</v>
      </c>
      <c r="X30" s="31">
        <v>7797.8999999999942</v>
      </c>
      <c r="Y30" s="41">
        <f t="shared" si="16"/>
        <v>152320</v>
      </c>
      <c r="Z30" s="42">
        <v>7797.8999999999942</v>
      </c>
      <c r="AA30" s="42"/>
      <c r="AB30" s="43">
        <f t="shared" si="17"/>
        <v>0</v>
      </c>
      <c r="AC30" s="70">
        <f t="shared" si="18"/>
        <v>29665</v>
      </c>
    </row>
    <row r="31" spans="1:29" ht="18.75" x14ac:dyDescent="0.3">
      <c r="A31" s="9">
        <v>9</v>
      </c>
      <c r="B31" s="33" t="s">
        <v>48</v>
      </c>
      <c r="C31" s="33" t="s">
        <v>42</v>
      </c>
      <c r="D31" s="33">
        <v>1</v>
      </c>
      <c r="E31" s="33">
        <v>8</v>
      </c>
      <c r="F31" s="33">
        <v>5</v>
      </c>
      <c r="G31" s="33">
        <v>301</v>
      </c>
      <c r="H31" s="33">
        <v>4</v>
      </c>
      <c r="I31" s="33">
        <v>1</v>
      </c>
      <c r="J31" s="33">
        <v>2</v>
      </c>
      <c r="K31" s="33">
        <v>7</v>
      </c>
      <c r="L31" s="33">
        <v>0</v>
      </c>
      <c r="M31" s="33">
        <v>1511</v>
      </c>
      <c r="N31" s="33">
        <v>1</v>
      </c>
      <c r="O31" s="33">
        <v>1</v>
      </c>
      <c r="P31" s="9">
        <v>0</v>
      </c>
      <c r="Q31" s="10"/>
      <c r="R31" s="11">
        <v>306211</v>
      </c>
      <c r="S31" s="11">
        <v>306211</v>
      </c>
      <c r="T31" s="11">
        <v>229662</v>
      </c>
      <c r="U31" s="11">
        <v>24340.02</v>
      </c>
      <c r="V31" s="11">
        <v>209115.51999999999</v>
      </c>
      <c r="W31" s="11">
        <v>0</v>
      </c>
      <c r="X31" s="31">
        <v>97095.48000000001</v>
      </c>
      <c r="Y31" s="41">
        <f t="shared" si="16"/>
        <v>0</v>
      </c>
      <c r="Z31" s="42">
        <v>121435.5</v>
      </c>
      <c r="AA31" s="42"/>
      <c r="AB31" s="43">
        <f t="shared" si="17"/>
        <v>24340.01999999999</v>
      </c>
      <c r="AC31" s="70">
        <f t="shared" si="18"/>
        <v>0</v>
      </c>
    </row>
    <row r="32" spans="1:29" ht="18.75" x14ac:dyDescent="0.3">
      <c r="A32" s="9">
        <v>9</v>
      </c>
      <c r="B32" s="33" t="s">
        <v>48</v>
      </c>
      <c r="C32" s="33" t="s">
        <v>42</v>
      </c>
      <c r="D32" s="33">
        <v>1</v>
      </c>
      <c r="E32" s="33">
        <v>8</v>
      </c>
      <c r="F32" s="33">
        <v>5</v>
      </c>
      <c r="G32" s="33">
        <v>301</v>
      </c>
      <c r="H32" s="33">
        <v>4</v>
      </c>
      <c r="I32" s="33">
        <v>1</v>
      </c>
      <c r="J32" s="33">
        <v>2</v>
      </c>
      <c r="K32" s="33">
        <v>7</v>
      </c>
      <c r="L32" s="33">
        <v>0</v>
      </c>
      <c r="M32" s="33">
        <v>1541</v>
      </c>
      <c r="N32" s="33">
        <v>1</v>
      </c>
      <c r="O32" s="33">
        <v>1</v>
      </c>
      <c r="P32" s="9">
        <v>18</v>
      </c>
      <c r="Q32" s="10"/>
      <c r="R32" s="11">
        <v>471796</v>
      </c>
      <c r="S32" s="11">
        <v>471796</v>
      </c>
      <c r="T32" s="11">
        <v>0</v>
      </c>
      <c r="U32" s="11">
        <v>0</v>
      </c>
      <c r="V32" s="11">
        <v>0</v>
      </c>
      <c r="W32" s="11">
        <v>0</v>
      </c>
      <c r="X32" s="31">
        <v>0</v>
      </c>
      <c r="Y32" s="41">
        <f t="shared" si="16"/>
        <v>471796</v>
      </c>
      <c r="Z32" s="42">
        <v>0</v>
      </c>
      <c r="AA32" s="42"/>
      <c r="AB32" s="43">
        <f t="shared" si="17"/>
        <v>0</v>
      </c>
      <c r="AC32" s="70">
        <f t="shared" si="18"/>
        <v>0</v>
      </c>
    </row>
    <row r="33" spans="1:29" ht="18.75" x14ac:dyDescent="0.3">
      <c r="A33" s="9">
        <v>9</v>
      </c>
      <c r="B33" s="33" t="s">
        <v>48</v>
      </c>
      <c r="C33" s="33" t="s">
        <v>42</v>
      </c>
      <c r="D33" s="33">
        <v>1</v>
      </c>
      <c r="E33" s="33">
        <v>8</v>
      </c>
      <c r="F33" s="33">
        <v>5</v>
      </c>
      <c r="G33" s="33">
        <v>301</v>
      </c>
      <c r="H33" s="33">
        <v>4</v>
      </c>
      <c r="I33" s="33">
        <v>1</v>
      </c>
      <c r="J33" s="33">
        <v>2</v>
      </c>
      <c r="K33" s="33">
        <v>7</v>
      </c>
      <c r="L33" s="33">
        <v>0</v>
      </c>
      <c r="M33" s="33">
        <v>1542</v>
      </c>
      <c r="N33" s="33">
        <v>1</v>
      </c>
      <c r="O33" s="33">
        <v>1</v>
      </c>
      <c r="P33" s="9">
        <v>0</v>
      </c>
      <c r="Q33" s="10"/>
      <c r="R33" s="11">
        <v>5000</v>
      </c>
      <c r="S33" s="11">
        <v>5000</v>
      </c>
      <c r="T33" s="11">
        <v>5000</v>
      </c>
      <c r="U33" s="11">
        <v>0</v>
      </c>
      <c r="V33" s="11">
        <v>0</v>
      </c>
      <c r="W33" s="11">
        <v>0</v>
      </c>
      <c r="X33" s="31">
        <v>0</v>
      </c>
      <c r="Y33" s="41">
        <f t="shared" si="16"/>
        <v>5000</v>
      </c>
      <c r="Z33" s="42">
        <v>0</v>
      </c>
      <c r="AA33" s="42"/>
      <c r="AB33" s="43">
        <f t="shared" si="17"/>
        <v>0</v>
      </c>
      <c r="AC33" s="70">
        <f t="shared" si="18"/>
        <v>0</v>
      </c>
    </row>
    <row r="34" spans="1:29" ht="18.75" x14ac:dyDescent="0.3">
      <c r="A34" s="9">
        <v>9</v>
      </c>
      <c r="B34" s="33" t="s">
        <v>48</v>
      </c>
      <c r="C34" s="33" t="s">
        <v>42</v>
      </c>
      <c r="D34" s="33">
        <v>1</v>
      </c>
      <c r="E34" s="33">
        <v>8</v>
      </c>
      <c r="F34" s="33">
        <v>5</v>
      </c>
      <c r="G34" s="33">
        <v>301</v>
      </c>
      <c r="H34" s="33">
        <v>4</v>
      </c>
      <c r="I34" s="33">
        <v>1</v>
      </c>
      <c r="J34" s="33">
        <v>2</v>
      </c>
      <c r="K34" s="33">
        <v>7</v>
      </c>
      <c r="L34" s="33">
        <v>0</v>
      </c>
      <c r="M34" s="33">
        <v>1548</v>
      </c>
      <c r="N34" s="33">
        <v>1</v>
      </c>
      <c r="O34" s="33">
        <v>1</v>
      </c>
      <c r="P34" s="9">
        <v>0</v>
      </c>
      <c r="Q34" s="10"/>
      <c r="R34" s="11">
        <v>75000</v>
      </c>
      <c r="S34" s="11">
        <v>75000</v>
      </c>
      <c r="T34" s="11">
        <v>75000</v>
      </c>
      <c r="U34" s="11">
        <v>0</v>
      </c>
      <c r="V34" s="11">
        <v>34612.06</v>
      </c>
      <c r="W34" s="11">
        <v>0</v>
      </c>
      <c r="X34" s="31">
        <v>0</v>
      </c>
      <c r="Y34" s="41">
        <f t="shared" si="16"/>
        <v>40387.94</v>
      </c>
      <c r="Z34" s="42">
        <v>0</v>
      </c>
      <c r="AA34" s="42"/>
      <c r="AB34" s="43">
        <f t="shared" si="17"/>
        <v>0</v>
      </c>
      <c r="AC34" s="70">
        <f t="shared" si="18"/>
        <v>0</v>
      </c>
    </row>
    <row r="35" spans="1:29" ht="18.75" x14ac:dyDescent="0.3">
      <c r="A35" s="9">
        <v>9</v>
      </c>
      <c r="B35" s="33" t="s">
        <v>48</v>
      </c>
      <c r="C35" s="33" t="s">
        <v>42</v>
      </c>
      <c r="D35" s="33">
        <v>1</v>
      </c>
      <c r="E35" s="33">
        <v>8</v>
      </c>
      <c r="F35" s="33">
        <v>5</v>
      </c>
      <c r="G35" s="33">
        <v>301</v>
      </c>
      <c r="H35" s="33">
        <v>4</v>
      </c>
      <c r="I35" s="33">
        <v>1</v>
      </c>
      <c r="J35" s="33">
        <v>2</v>
      </c>
      <c r="K35" s="33">
        <v>7</v>
      </c>
      <c r="L35" s="33">
        <v>0</v>
      </c>
      <c r="M35" s="33">
        <v>1549</v>
      </c>
      <c r="N35" s="33">
        <v>1</v>
      </c>
      <c r="O35" s="33">
        <v>1</v>
      </c>
      <c r="P35" s="9">
        <v>0</v>
      </c>
      <c r="Q35" s="10"/>
      <c r="R35" s="11">
        <v>61500</v>
      </c>
      <c r="S35" s="11">
        <v>61500</v>
      </c>
      <c r="T35" s="11">
        <v>61500</v>
      </c>
      <c r="U35" s="11">
        <v>0</v>
      </c>
      <c r="V35" s="11">
        <v>0</v>
      </c>
      <c r="W35" s="11">
        <v>0</v>
      </c>
      <c r="X35" s="31">
        <v>0</v>
      </c>
      <c r="Y35" s="41">
        <f t="shared" si="16"/>
        <v>61500</v>
      </c>
      <c r="Z35" s="42">
        <v>0</v>
      </c>
      <c r="AA35" s="42"/>
      <c r="AB35" s="43">
        <f t="shared" si="17"/>
        <v>0</v>
      </c>
      <c r="AC35" s="70">
        <f t="shared" si="18"/>
        <v>0</v>
      </c>
    </row>
    <row r="36" spans="1:29" ht="18.75" x14ac:dyDescent="0.3">
      <c r="A36" s="9">
        <v>9</v>
      </c>
      <c r="B36" s="33" t="s">
        <v>48</v>
      </c>
      <c r="C36" s="33" t="s">
        <v>42</v>
      </c>
      <c r="D36" s="33">
        <v>1</v>
      </c>
      <c r="E36" s="33">
        <v>8</v>
      </c>
      <c r="F36" s="33">
        <v>5</v>
      </c>
      <c r="G36" s="33">
        <v>301</v>
      </c>
      <c r="H36" s="33">
        <v>4</v>
      </c>
      <c r="I36" s="33">
        <v>1</v>
      </c>
      <c r="J36" s="33">
        <v>2</v>
      </c>
      <c r="K36" s="33">
        <v>7</v>
      </c>
      <c r="L36" s="33">
        <v>0</v>
      </c>
      <c r="M36" s="33">
        <v>1591</v>
      </c>
      <c r="N36" s="33">
        <v>1</v>
      </c>
      <c r="O36" s="33">
        <v>1</v>
      </c>
      <c r="P36" s="9">
        <v>0</v>
      </c>
      <c r="Q36" s="10" t="s">
        <v>11</v>
      </c>
      <c r="R36" s="11">
        <v>1919924</v>
      </c>
      <c r="S36" s="11">
        <v>1919924</v>
      </c>
      <c r="T36" s="11">
        <v>1519994</v>
      </c>
      <c r="U36" s="11">
        <v>135328</v>
      </c>
      <c r="V36" s="11">
        <v>1399088.52</v>
      </c>
      <c r="W36" s="11">
        <v>0</v>
      </c>
      <c r="X36" s="31">
        <v>520835.48</v>
      </c>
      <c r="Y36" s="41">
        <f t="shared" si="16"/>
        <v>0</v>
      </c>
      <c r="Z36" s="42">
        <v>656163.48</v>
      </c>
      <c r="AA36" s="42"/>
      <c r="AB36" s="43">
        <f t="shared" si="17"/>
        <v>135328</v>
      </c>
      <c r="AC36" s="70">
        <f t="shared" si="18"/>
        <v>0</v>
      </c>
    </row>
    <row r="37" spans="1:29" ht="18.75" x14ac:dyDescent="0.3">
      <c r="A37" s="9">
        <v>9</v>
      </c>
      <c r="B37" s="33" t="s">
        <v>48</v>
      </c>
      <c r="C37" s="33" t="s">
        <v>42</v>
      </c>
      <c r="D37" s="33">
        <v>1</v>
      </c>
      <c r="E37" s="33">
        <v>8</v>
      </c>
      <c r="F37" s="33">
        <v>5</v>
      </c>
      <c r="G37" s="33">
        <v>301</v>
      </c>
      <c r="H37" s="33">
        <v>1</v>
      </c>
      <c r="I37" s="33">
        <v>1</v>
      </c>
      <c r="J37" s="33">
        <v>1</v>
      </c>
      <c r="K37" s="33">
        <v>7</v>
      </c>
      <c r="L37" s="33">
        <v>0</v>
      </c>
      <c r="M37" s="33">
        <v>1591</v>
      </c>
      <c r="N37" s="33">
        <v>1</v>
      </c>
      <c r="O37" s="33">
        <v>1</v>
      </c>
      <c r="P37" s="9">
        <v>0</v>
      </c>
      <c r="Q37" s="10"/>
      <c r="R37" s="13">
        <v>2000000</v>
      </c>
      <c r="S37" s="13">
        <v>2000000</v>
      </c>
      <c r="T37" s="13">
        <v>1454544</v>
      </c>
      <c r="U37" s="13">
        <v>181818</v>
      </c>
      <c r="V37" s="13">
        <v>1454544</v>
      </c>
      <c r="W37" s="13">
        <v>0</v>
      </c>
      <c r="X37" s="35">
        <v>545456</v>
      </c>
      <c r="Y37" s="63">
        <f t="shared" si="16"/>
        <v>0</v>
      </c>
      <c r="Z37" s="50">
        <v>727274</v>
      </c>
      <c r="AA37" s="50"/>
      <c r="AB37" s="43">
        <f t="shared" si="17"/>
        <v>181818</v>
      </c>
      <c r="AC37" s="48">
        <f t="shared" si="18"/>
        <v>0</v>
      </c>
    </row>
    <row r="38" spans="1:29" ht="18.75" x14ac:dyDescent="0.3">
      <c r="A38" s="33"/>
      <c r="B38" s="33"/>
      <c r="C38" s="33"/>
      <c r="D38" s="9"/>
      <c r="E38" s="9"/>
      <c r="F38" s="9"/>
      <c r="G38" s="9"/>
      <c r="H38" s="9"/>
      <c r="I38" s="9"/>
      <c r="J38" s="9"/>
      <c r="K38" s="9"/>
      <c r="L38" s="9"/>
      <c r="M38" s="9"/>
      <c r="N38" s="175" t="s">
        <v>13</v>
      </c>
      <c r="O38" s="175"/>
      <c r="P38" s="175"/>
      <c r="Q38" s="175"/>
      <c r="R38" s="14">
        <f t="shared" ref="R38:AC38" si="19">SUM(R21:R37)</f>
        <v>17048698</v>
      </c>
      <c r="S38" s="14">
        <f t="shared" si="19"/>
        <v>17048698</v>
      </c>
      <c r="T38" s="14">
        <f t="shared" si="19"/>
        <v>11507162</v>
      </c>
      <c r="U38" s="14">
        <f t="shared" si="19"/>
        <v>1241572.42</v>
      </c>
      <c r="V38" s="14">
        <f t="shared" si="19"/>
        <v>10075644.889999999</v>
      </c>
      <c r="W38" s="14">
        <f t="shared" si="19"/>
        <v>0</v>
      </c>
      <c r="X38" s="36">
        <f>SUM(X21:X37)</f>
        <v>6237049.1699999999</v>
      </c>
      <c r="Y38" s="38">
        <f t="shared" si="19"/>
        <v>736003.94</v>
      </c>
      <c r="Z38" s="38">
        <f t="shared" si="19"/>
        <v>7448956.5899999999</v>
      </c>
      <c r="AA38" s="38">
        <f t="shared" si="19"/>
        <v>0</v>
      </c>
      <c r="AB38" s="38">
        <f t="shared" si="19"/>
        <v>1211907.4200000002</v>
      </c>
      <c r="AC38" s="38">
        <f t="shared" si="19"/>
        <v>29664.999999999862</v>
      </c>
    </row>
    <row r="39" spans="1:29" ht="18.75" x14ac:dyDescent="0.3">
      <c r="A39" s="9">
        <v>9</v>
      </c>
      <c r="B39" s="33" t="s">
        <v>48</v>
      </c>
      <c r="C39" s="33" t="s">
        <v>42</v>
      </c>
      <c r="D39" s="33">
        <v>1</v>
      </c>
      <c r="E39" s="33">
        <v>8</v>
      </c>
      <c r="F39" s="33">
        <v>5</v>
      </c>
      <c r="G39" s="33">
        <v>301</v>
      </c>
      <c r="H39" s="33">
        <v>4</v>
      </c>
      <c r="I39" s="33">
        <v>1</v>
      </c>
      <c r="J39" s="33">
        <v>2</v>
      </c>
      <c r="K39" s="33">
        <v>7</v>
      </c>
      <c r="L39" s="33">
        <v>0</v>
      </c>
      <c r="M39" s="33">
        <v>2111</v>
      </c>
      <c r="N39" s="33">
        <v>1</v>
      </c>
      <c r="O39" s="33">
        <v>1</v>
      </c>
      <c r="P39" s="9">
        <v>0</v>
      </c>
      <c r="Q39" s="10"/>
      <c r="R39" s="11">
        <v>185000</v>
      </c>
      <c r="S39" s="11">
        <v>185000</v>
      </c>
      <c r="T39" s="11">
        <v>170000</v>
      </c>
      <c r="U39" s="11">
        <v>0</v>
      </c>
      <c r="V39" s="11">
        <v>156570.16999999998</v>
      </c>
      <c r="W39" s="11">
        <v>0</v>
      </c>
      <c r="X39" s="31">
        <v>0</v>
      </c>
      <c r="Y39" s="41">
        <f t="shared" ref="Y39:Y56" si="20">+S39-V39-X39-W39</f>
        <v>28429.830000000016</v>
      </c>
      <c r="Z39" s="42">
        <v>0</v>
      </c>
      <c r="AA39" s="42"/>
      <c r="AB39" s="43">
        <f t="shared" ref="AB39" si="21">+Z39-X39+AA39-W39</f>
        <v>0</v>
      </c>
      <c r="AC39" s="43">
        <f t="shared" ref="AC39" si="22">+U39-AB39</f>
        <v>0</v>
      </c>
    </row>
    <row r="40" spans="1:29" ht="18.75" x14ac:dyDescent="0.3">
      <c r="A40" s="9">
        <v>9</v>
      </c>
      <c r="B40" s="33" t="s">
        <v>48</v>
      </c>
      <c r="C40" s="33" t="s">
        <v>42</v>
      </c>
      <c r="D40" s="33">
        <v>1</v>
      </c>
      <c r="E40" s="33">
        <v>8</v>
      </c>
      <c r="F40" s="33">
        <v>5</v>
      </c>
      <c r="G40" s="33">
        <v>301</v>
      </c>
      <c r="H40" s="33">
        <v>4</v>
      </c>
      <c r="I40" s="33">
        <v>1</v>
      </c>
      <c r="J40" s="33">
        <v>2</v>
      </c>
      <c r="K40" s="33">
        <v>7</v>
      </c>
      <c r="L40" s="33">
        <v>0</v>
      </c>
      <c r="M40" s="33">
        <v>2121</v>
      </c>
      <c r="N40" s="33">
        <v>1</v>
      </c>
      <c r="O40" s="33">
        <v>1</v>
      </c>
      <c r="P40" s="9">
        <v>0</v>
      </c>
      <c r="Q40" s="10"/>
      <c r="R40" s="11">
        <v>1500</v>
      </c>
      <c r="S40" s="11">
        <v>1500</v>
      </c>
      <c r="T40" s="11">
        <v>1500</v>
      </c>
      <c r="U40" s="11">
        <v>0</v>
      </c>
      <c r="V40" s="11">
        <v>0</v>
      </c>
      <c r="W40" s="11">
        <v>0</v>
      </c>
      <c r="X40" s="31">
        <v>0</v>
      </c>
      <c r="Y40" s="41">
        <f t="shared" si="20"/>
        <v>1500</v>
      </c>
      <c r="Z40" s="42">
        <v>0</v>
      </c>
      <c r="AA40" s="42"/>
      <c r="AB40" s="43">
        <f t="shared" ref="AB40:AB56" si="23">+Z40-X40+AA40-W40</f>
        <v>0</v>
      </c>
      <c r="AC40" s="43">
        <f t="shared" ref="AC40:AC56" si="24">+U40-AB40</f>
        <v>0</v>
      </c>
    </row>
    <row r="41" spans="1:29" ht="18.75" x14ac:dyDescent="0.3">
      <c r="A41" s="9">
        <v>9</v>
      </c>
      <c r="B41" s="33" t="s">
        <v>48</v>
      </c>
      <c r="C41" s="33" t="s">
        <v>42</v>
      </c>
      <c r="D41" s="33">
        <v>1</v>
      </c>
      <c r="E41" s="33">
        <v>8</v>
      </c>
      <c r="F41" s="33">
        <v>5</v>
      </c>
      <c r="G41" s="33">
        <v>301</v>
      </c>
      <c r="H41" s="33">
        <v>4</v>
      </c>
      <c r="I41" s="33">
        <v>1</v>
      </c>
      <c r="J41" s="33">
        <v>2</v>
      </c>
      <c r="K41" s="33">
        <v>7</v>
      </c>
      <c r="L41" s="33">
        <v>0</v>
      </c>
      <c r="M41" s="33">
        <v>2141</v>
      </c>
      <c r="N41" s="33">
        <v>1</v>
      </c>
      <c r="O41" s="33">
        <v>1</v>
      </c>
      <c r="P41" s="9">
        <v>0</v>
      </c>
      <c r="Q41" s="10"/>
      <c r="R41" s="11">
        <v>125000</v>
      </c>
      <c r="S41" s="11">
        <v>125000</v>
      </c>
      <c r="T41" s="11">
        <v>125000</v>
      </c>
      <c r="U41" s="11">
        <v>0</v>
      </c>
      <c r="V41" s="11">
        <v>121201.07</v>
      </c>
      <c r="W41" s="11">
        <v>0</v>
      </c>
      <c r="X41" s="31">
        <v>0</v>
      </c>
      <c r="Y41" s="41">
        <f t="shared" si="20"/>
        <v>3798.929999999993</v>
      </c>
      <c r="Z41" s="42">
        <v>0</v>
      </c>
      <c r="AA41" s="11"/>
      <c r="AB41" s="43">
        <f t="shared" si="23"/>
        <v>0</v>
      </c>
      <c r="AC41" s="43">
        <f t="shared" si="24"/>
        <v>0</v>
      </c>
    </row>
    <row r="42" spans="1:29" ht="18.75" x14ac:dyDescent="0.3">
      <c r="A42" s="9">
        <v>9</v>
      </c>
      <c r="B42" s="33" t="s">
        <v>48</v>
      </c>
      <c r="C42" s="33" t="s">
        <v>42</v>
      </c>
      <c r="D42" s="33">
        <v>1</v>
      </c>
      <c r="E42" s="33">
        <v>8</v>
      </c>
      <c r="F42" s="33">
        <v>5</v>
      </c>
      <c r="G42" s="33">
        <v>301</v>
      </c>
      <c r="H42" s="33">
        <v>4</v>
      </c>
      <c r="I42" s="33">
        <v>1</v>
      </c>
      <c r="J42" s="33">
        <v>2</v>
      </c>
      <c r="K42" s="33">
        <v>7</v>
      </c>
      <c r="L42" s="33">
        <v>0</v>
      </c>
      <c r="M42" s="33">
        <v>2151</v>
      </c>
      <c r="N42" s="33">
        <v>1</v>
      </c>
      <c r="O42" s="33">
        <v>1</v>
      </c>
      <c r="P42" s="9">
        <v>0</v>
      </c>
      <c r="Q42" s="10"/>
      <c r="R42" s="11">
        <v>17000</v>
      </c>
      <c r="S42" s="11">
        <v>17000</v>
      </c>
      <c r="T42" s="11">
        <v>17000</v>
      </c>
      <c r="U42" s="11">
        <v>0</v>
      </c>
      <c r="V42" s="11">
        <v>13907.3</v>
      </c>
      <c r="W42" s="11">
        <v>0</v>
      </c>
      <c r="X42" s="31">
        <v>0</v>
      </c>
      <c r="Y42" s="41">
        <f t="shared" si="20"/>
        <v>3092.7000000000007</v>
      </c>
      <c r="Z42" s="42">
        <v>0</v>
      </c>
      <c r="AA42" s="42"/>
      <c r="AB42" s="43">
        <f t="shared" si="23"/>
        <v>0</v>
      </c>
      <c r="AC42" s="43">
        <f t="shared" si="24"/>
        <v>0</v>
      </c>
    </row>
    <row r="43" spans="1:29" ht="18.75" x14ac:dyDescent="0.3">
      <c r="A43" s="9">
        <v>9</v>
      </c>
      <c r="B43" s="33" t="s">
        <v>48</v>
      </c>
      <c r="C43" s="33" t="s">
        <v>42</v>
      </c>
      <c r="D43" s="33">
        <v>1</v>
      </c>
      <c r="E43" s="33">
        <v>8</v>
      </c>
      <c r="F43" s="33">
        <v>5</v>
      </c>
      <c r="G43" s="33">
        <v>301</v>
      </c>
      <c r="H43" s="33">
        <v>4</v>
      </c>
      <c r="I43" s="33">
        <v>1</v>
      </c>
      <c r="J43" s="33">
        <v>2</v>
      </c>
      <c r="K43" s="33">
        <v>7</v>
      </c>
      <c r="L43" s="33">
        <v>0</v>
      </c>
      <c r="M43" s="33">
        <v>2161</v>
      </c>
      <c r="N43" s="33">
        <v>1</v>
      </c>
      <c r="O43" s="33">
        <v>1</v>
      </c>
      <c r="P43" s="9">
        <v>0</v>
      </c>
      <c r="Q43" s="10"/>
      <c r="R43" s="11">
        <v>3000</v>
      </c>
      <c r="S43" s="11">
        <v>3000</v>
      </c>
      <c r="T43" s="11">
        <v>2250</v>
      </c>
      <c r="U43" s="11">
        <v>0</v>
      </c>
      <c r="V43" s="11">
        <v>293.08</v>
      </c>
      <c r="W43" s="11">
        <v>0</v>
      </c>
      <c r="X43" s="31">
        <v>0</v>
      </c>
      <c r="Y43" s="41">
        <f t="shared" si="20"/>
        <v>2706.92</v>
      </c>
      <c r="Z43" s="42">
        <v>0</v>
      </c>
      <c r="AA43" s="42"/>
      <c r="AB43" s="43">
        <f t="shared" si="23"/>
        <v>0</v>
      </c>
      <c r="AC43" s="43">
        <f t="shared" si="24"/>
        <v>0</v>
      </c>
    </row>
    <row r="44" spans="1:29" ht="18.75" x14ac:dyDescent="0.3">
      <c r="A44" s="9">
        <v>9</v>
      </c>
      <c r="B44" s="33" t="s">
        <v>48</v>
      </c>
      <c r="C44" s="33" t="s">
        <v>42</v>
      </c>
      <c r="D44" s="33">
        <v>1</v>
      </c>
      <c r="E44" s="33">
        <v>8</v>
      </c>
      <c r="F44" s="33">
        <v>5</v>
      </c>
      <c r="G44" s="33">
        <v>301</v>
      </c>
      <c r="H44" s="33">
        <v>4</v>
      </c>
      <c r="I44" s="33">
        <v>1</v>
      </c>
      <c r="J44" s="33">
        <v>2</v>
      </c>
      <c r="K44" s="33">
        <v>7</v>
      </c>
      <c r="L44" s="33">
        <v>0</v>
      </c>
      <c r="M44" s="33">
        <v>2211</v>
      </c>
      <c r="N44" s="33">
        <v>1</v>
      </c>
      <c r="O44" s="33">
        <v>1</v>
      </c>
      <c r="P44" s="9">
        <v>0</v>
      </c>
      <c r="Q44" s="10"/>
      <c r="R44" s="11">
        <v>12000</v>
      </c>
      <c r="S44" s="11">
        <v>12000</v>
      </c>
      <c r="T44" s="11">
        <v>9000</v>
      </c>
      <c r="U44" s="11">
        <v>0</v>
      </c>
      <c r="V44" s="11">
        <v>1566.76</v>
      </c>
      <c r="W44" s="11">
        <v>0</v>
      </c>
      <c r="X44" s="31">
        <v>0</v>
      </c>
      <c r="Y44" s="41">
        <f t="shared" si="20"/>
        <v>10433.24</v>
      </c>
      <c r="Z44" s="42">
        <v>0</v>
      </c>
      <c r="AA44" s="42"/>
      <c r="AB44" s="43">
        <f t="shared" si="23"/>
        <v>0</v>
      </c>
      <c r="AC44" s="43">
        <f t="shared" si="24"/>
        <v>0</v>
      </c>
    </row>
    <row r="45" spans="1:29" ht="18.75" x14ac:dyDescent="0.3">
      <c r="A45" s="9">
        <v>9</v>
      </c>
      <c r="B45" s="33" t="s">
        <v>48</v>
      </c>
      <c r="C45" s="33" t="s">
        <v>42</v>
      </c>
      <c r="D45" s="33">
        <v>1</v>
      </c>
      <c r="E45" s="33">
        <v>8</v>
      </c>
      <c r="F45" s="33">
        <v>5</v>
      </c>
      <c r="G45" s="33">
        <v>301</v>
      </c>
      <c r="H45" s="33">
        <v>4</v>
      </c>
      <c r="I45" s="33">
        <v>1</v>
      </c>
      <c r="J45" s="33">
        <v>2</v>
      </c>
      <c r="K45" s="33">
        <v>7</v>
      </c>
      <c r="L45" s="33">
        <v>0</v>
      </c>
      <c r="M45" s="33">
        <v>2231</v>
      </c>
      <c r="N45" s="33">
        <v>1</v>
      </c>
      <c r="O45" s="33">
        <v>1</v>
      </c>
      <c r="P45" s="9">
        <v>0</v>
      </c>
      <c r="Q45" s="10"/>
      <c r="R45" s="11">
        <v>2500</v>
      </c>
      <c r="S45" s="11">
        <v>2500</v>
      </c>
      <c r="T45" s="11">
        <v>1872</v>
      </c>
      <c r="U45" s="11">
        <v>0</v>
      </c>
      <c r="V45" s="11">
        <v>0</v>
      </c>
      <c r="W45" s="11">
        <v>0</v>
      </c>
      <c r="X45" s="31">
        <v>0</v>
      </c>
      <c r="Y45" s="41">
        <f t="shared" si="20"/>
        <v>2500</v>
      </c>
      <c r="Z45" s="42">
        <v>0</v>
      </c>
      <c r="AA45" s="42"/>
      <c r="AB45" s="43">
        <f t="shared" si="23"/>
        <v>0</v>
      </c>
      <c r="AC45" s="43">
        <f t="shared" si="24"/>
        <v>0</v>
      </c>
    </row>
    <row r="46" spans="1:29" ht="18.75" x14ac:dyDescent="0.3">
      <c r="A46" s="9">
        <v>9</v>
      </c>
      <c r="B46" s="33" t="s">
        <v>48</v>
      </c>
      <c r="C46" s="33" t="s">
        <v>42</v>
      </c>
      <c r="D46" s="33">
        <v>1</v>
      </c>
      <c r="E46" s="33">
        <v>8</v>
      </c>
      <c r="F46" s="33">
        <v>5</v>
      </c>
      <c r="G46" s="33">
        <v>301</v>
      </c>
      <c r="H46" s="33">
        <v>4</v>
      </c>
      <c r="I46" s="33">
        <v>1</v>
      </c>
      <c r="J46" s="33">
        <v>2</v>
      </c>
      <c r="K46" s="33">
        <v>7</v>
      </c>
      <c r="L46" s="33">
        <v>0</v>
      </c>
      <c r="M46" s="33">
        <v>2431</v>
      </c>
      <c r="N46" s="33">
        <v>1</v>
      </c>
      <c r="O46" s="33">
        <v>1</v>
      </c>
      <c r="P46" s="9">
        <v>0</v>
      </c>
      <c r="Q46" s="10"/>
      <c r="R46" s="11">
        <v>1000</v>
      </c>
      <c r="S46" s="11">
        <v>1000</v>
      </c>
      <c r="T46" s="11">
        <v>1000</v>
      </c>
      <c r="U46" s="11">
        <v>0</v>
      </c>
      <c r="V46" s="11">
        <v>0</v>
      </c>
      <c r="W46" s="11">
        <v>0</v>
      </c>
      <c r="X46" s="31">
        <v>0</v>
      </c>
      <c r="Y46" s="41">
        <f t="shared" si="20"/>
        <v>1000</v>
      </c>
      <c r="Z46" s="42">
        <v>0</v>
      </c>
      <c r="AA46" s="42"/>
      <c r="AB46" s="43">
        <f t="shared" si="23"/>
        <v>0</v>
      </c>
      <c r="AC46" s="43">
        <f t="shared" si="24"/>
        <v>0</v>
      </c>
    </row>
    <row r="47" spans="1:29" s="2" customFormat="1" ht="18.75" x14ac:dyDescent="0.3">
      <c r="A47" s="9">
        <v>9</v>
      </c>
      <c r="B47" s="33" t="s">
        <v>48</v>
      </c>
      <c r="C47" s="33" t="s">
        <v>42</v>
      </c>
      <c r="D47" s="33">
        <v>1</v>
      </c>
      <c r="E47" s="33">
        <v>8</v>
      </c>
      <c r="F47" s="33">
        <v>5</v>
      </c>
      <c r="G47" s="33">
        <v>301</v>
      </c>
      <c r="H47" s="33">
        <v>4</v>
      </c>
      <c r="I47" s="33">
        <v>1</v>
      </c>
      <c r="J47" s="33">
        <v>2</v>
      </c>
      <c r="K47" s="33">
        <v>7</v>
      </c>
      <c r="L47" s="33">
        <v>0</v>
      </c>
      <c r="M47" s="33">
        <v>2441</v>
      </c>
      <c r="N47" s="33">
        <v>1</v>
      </c>
      <c r="O47" s="33">
        <v>1</v>
      </c>
      <c r="P47" s="9">
        <v>0</v>
      </c>
      <c r="Q47" s="12"/>
      <c r="R47" s="11">
        <v>1000</v>
      </c>
      <c r="S47" s="11">
        <v>1000</v>
      </c>
      <c r="T47" s="11">
        <v>1000</v>
      </c>
      <c r="U47" s="11">
        <v>0</v>
      </c>
      <c r="V47" s="11">
        <v>0</v>
      </c>
      <c r="W47" s="11">
        <v>0</v>
      </c>
      <c r="X47" s="31">
        <v>0</v>
      </c>
      <c r="Y47" s="41">
        <f t="shared" si="20"/>
        <v>1000</v>
      </c>
      <c r="Z47" s="42">
        <v>0</v>
      </c>
      <c r="AA47" s="42"/>
      <c r="AB47" s="43">
        <f t="shared" si="23"/>
        <v>0</v>
      </c>
      <c r="AC47" s="43">
        <f t="shared" si="24"/>
        <v>0</v>
      </c>
    </row>
    <row r="48" spans="1:29" ht="18.75" x14ac:dyDescent="0.3">
      <c r="A48" s="9">
        <v>9</v>
      </c>
      <c r="B48" s="33" t="s">
        <v>48</v>
      </c>
      <c r="C48" s="33" t="s">
        <v>42</v>
      </c>
      <c r="D48" s="33">
        <v>1</v>
      </c>
      <c r="E48" s="33">
        <v>8</v>
      </c>
      <c r="F48" s="33">
        <v>5</v>
      </c>
      <c r="G48" s="33">
        <v>301</v>
      </c>
      <c r="H48" s="33">
        <v>4</v>
      </c>
      <c r="I48" s="33">
        <v>1</v>
      </c>
      <c r="J48" s="33">
        <v>2</v>
      </c>
      <c r="K48" s="33">
        <v>7</v>
      </c>
      <c r="L48" s="33">
        <v>0</v>
      </c>
      <c r="M48" s="33">
        <v>2451</v>
      </c>
      <c r="N48" s="33">
        <v>1</v>
      </c>
      <c r="O48" s="33">
        <v>1</v>
      </c>
      <c r="P48" s="9">
        <v>0</v>
      </c>
      <c r="Q48" s="10"/>
      <c r="R48" s="11">
        <v>5000</v>
      </c>
      <c r="S48" s="11">
        <v>5000</v>
      </c>
      <c r="T48" s="11">
        <v>5000</v>
      </c>
      <c r="U48" s="11">
        <v>0</v>
      </c>
      <c r="V48" s="11">
        <v>520</v>
      </c>
      <c r="W48" s="11">
        <v>0</v>
      </c>
      <c r="X48" s="31">
        <v>0</v>
      </c>
      <c r="Y48" s="41">
        <f t="shared" si="20"/>
        <v>4480</v>
      </c>
      <c r="Z48" s="42">
        <v>0</v>
      </c>
      <c r="AA48" s="42"/>
      <c r="AB48" s="43">
        <f t="shared" si="23"/>
        <v>0</v>
      </c>
      <c r="AC48" s="43">
        <f t="shared" si="24"/>
        <v>0</v>
      </c>
    </row>
    <row r="49" spans="1:29" ht="18.75" x14ac:dyDescent="0.3">
      <c r="A49" s="9">
        <v>9</v>
      </c>
      <c r="B49" s="33" t="s">
        <v>48</v>
      </c>
      <c r="C49" s="33" t="s">
        <v>42</v>
      </c>
      <c r="D49" s="33">
        <v>1</v>
      </c>
      <c r="E49" s="33">
        <v>8</v>
      </c>
      <c r="F49" s="33">
        <v>5</v>
      </c>
      <c r="G49" s="33">
        <v>301</v>
      </c>
      <c r="H49" s="33">
        <v>4</v>
      </c>
      <c r="I49" s="33">
        <v>1</v>
      </c>
      <c r="J49" s="33">
        <v>2</v>
      </c>
      <c r="K49" s="33">
        <v>7</v>
      </c>
      <c r="L49" s="33">
        <v>0</v>
      </c>
      <c r="M49" s="33">
        <v>2461</v>
      </c>
      <c r="N49" s="33">
        <v>1</v>
      </c>
      <c r="O49" s="33">
        <v>1</v>
      </c>
      <c r="P49" s="9">
        <v>0</v>
      </c>
      <c r="Q49" s="10"/>
      <c r="R49" s="11">
        <v>10000</v>
      </c>
      <c r="S49" s="11">
        <v>8000</v>
      </c>
      <c r="T49" s="11">
        <v>8000</v>
      </c>
      <c r="U49" s="11">
        <v>0</v>
      </c>
      <c r="V49" s="11">
        <v>0</v>
      </c>
      <c r="W49" s="11">
        <v>0</v>
      </c>
      <c r="X49" s="31">
        <v>0</v>
      </c>
      <c r="Y49" s="41">
        <f t="shared" si="20"/>
        <v>8000</v>
      </c>
      <c r="Z49" s="42">
        <v>0</v>
      </c>
      <c r="AA49" s="42"/>
      <c r="AB49" s="43">
        <f t="shared" si="23"/>
        <v>0</v>
      </c>
      <c r="AC49" s="43">
        <f t="shared" si="24"/>
        <v>0</v>
      </c>
    </row>
    <row r="50" spans="1:29" ht="18.75" x14ac:dyDescent="0.3">
      <c r="A50" s="9">
        <v>9</v>
      </c>
      <c r="B50" s="33" t="s">
        <v>48</v>
      </c>
      <c r="C50" s="33" t="s">
        <v>42</v>
      </c>
      <c r="D50" s="33">
        <v>1</v>
      </c>
      <c r="E50" s="33">
        <v>8</v>
      </c>
      <c r="F50" s="33">
        <v>5</v>
      </c>
      <c r="G50" s="33">
        <v>301</v>
      </c>
      <c r="H50" s="33">
        <v>4</v>
      </c>
      <c r="I50" s="33">
        <v>1</v>
      </c>
      <c r="J50" s="33">
        <v>2</v>
      </c>
      <c r="K50" s="33">
        <v>7</v>
      </c>
      <c r="L50" s="33">
        <v>0</v>
      </c>
      <c r="M50" s="33">
        <v>2471</v>
      </c>
      <c r="N50" s="33">
        <v>1</v>
      </c>
      <c r="O50" s="33">
        <v>1</v>
      </c>
      <c r="P50" s="9">
        <v>0</v>
      </c>
      <c r="Q50" s="10"/>
      <c r="R50" s="11">
        <v>2000</v>
      </c>
      <c r="S50" s="11">
        <v>2000</v>
      </c>
      <c r="T50" s="11">
        <v>2000</v>
      </c>
      <c r="U50" s="11">
        <v>0</v>
      </c>
      <c r="V50" s="11">
        <v>0</v>
      </c>
      <c r="W50" s="11">
        <v>0</v>
      </c>
      <c r="X50" s="31">
        <v>0</v>
      </c>
      <c r="Y50" s="41">
        <f t="shared" si="20"/>
        <v>2000</v>
      </c>
      <c r="Z50" s="42">
        <v>0</v>
      </c>
      <c r="AA50" s="42"/>
      <c r="AB50" s="43">
        <f t="shared" si="23"/>
        <v>0</v>
      </c>
      <c r="AC50" s="43">
        <f t="shared" si="24"/>
        <v>0</v>
      </c>
    </row>
    <row r="51" spans="1:29" ht="18.75" x14ac:dyDescent="0.3">
      <c r="A51" s="9">
        <v>9</v>
      </c>
      <c r="B51" s="33" t="s">
        <v>48</v>
      </c>
      <c r="C51" s="33" t="s">
        <v>42</v>
      </c>
      <c r="D51" s="33">
        <v>1</v>
      </c>
      <c r="E51" s="33">
        <v>8</v>
      </c>
      <c r="F51" s="33">
        <v>5</v>
      </c>
      <c r="G51" s="33">
        <v>301</v>
      </c>
      <c r="H51" s="33">
        <v>4</v>
      </c>
      <c r="I51" s="33">
        <v>1</v>
      </c>
      <c r="J51" s="33">
        <v>2</v>
      </c>
      <c r="K51" s="33">
        <v>7</v>
      </c>
      <c r="L51" s="33">
        <v>0</v>
      </c>
      <c r="M51" s="33">
        <v>2491</v>
      </c>
      <c r="N51" s="33">
        <v>1</v>
      </c>
      <c r="O51" s="33">
        <v>1</v>
      </c>
      <c r="P51" s="9">
        <v>0</v>
      </c>
      <c r="Q51" s="10"/>
      <c r="R51" s="11">
        <v>5000</v>
      </c>
      <c r="S51" s="11">
        <v>7000</v>
      </c>
      <c r="T51" s="11">
        <v>7000</v>
      </c>
      <c r="U51" s="11">
        <v>0</v>
      </c>
      <c r="V51" s="11">
        <v>6570</v>
      </c>
      <c r="W51" s="11">
        <v>0</v>
      </c>
      <c r="X51" s="31">
        <v>0</v>
      </c>
      <c r="Y51" s="41">
        <f t="shared" si="20"/>
        <v>430</v>
      </c>
      <c r="Z51" s="42">
        <v>0</v>
      </c>
      <c r="AA51" s="42"/>
      <c r="AB51" s="43">
        <f t="shared" si="23"/>
        <v>0</v>
      </c>
      <c r="AC51" s="43">
        <f t="shared" si="24"/>
        <v>0</v>
      </c>
    </row>
    <row r="52" spans="1:29" ht="18.75" x14ac:dyDescent="0.3">
      <c r="A52" s="9">
        <v>9</v>
      </c>
      <c r="B52" s="33" t="s">
        <v>48</v>
      </c>
      <c r="C52" s="33" t="s">
        <v>42</v>
      </c>
      <c r="D52" s="33">
        <v>1</v>
      </c>
      <c r="E52" s="33">
        <v>8</v>
      </c>
      <c r="F52" s="33">
        <v>5</v>
      </c>
      <c r="G52" s="33">
        <v>301</v>
      </c>
      <c r="H52" s="33">
        <v>4</v>
      </c>
      <c r="I52" s="33">
        <v>1</v>
      </c>
      <c r="J52" s="33">
        <v>2</v>
      </c>
      <c r="K52" s="33">
        <v>7</v>
      </c>
      <c r="L52" s="33">
        <v>0</v>
      </c>
      <c r="M52" s="33">
        <v>2531</v>
      </c>
      <c r="N52" s="33">
        <v>1</v>
      </c>
      <c r="O52" s="33">
        <v>1</v>
      </c>
      <c r="P52" s="9">
        <v>0</v>
      </c>
      <c r="Q52" s="10"/>
      <c r="R52" s="11">
        <v>5000</v>
      </c>
      <c r="S52" s="11">
        <v>5000</v>
      </c>
      <c r="T52" s="11">
        <v>3753</v>
      </c>
      <c r="U52" s="11">
        <v>0</v>
      </c>
      <c r="V52" s="11">
        <v>0</v>
      </c>
      <c r="W52" s="11">
        <v>0</v>
      </c>
      <c r="X52" s="31">
        <v>0</v>
      </c>
      <c r="Y52" s="41">
        <f t="shared" si="20"/>
        <v>5000</v>
      </c>
      <c r="Z52" s="42">
        <v>0</v>
      </c>
      <c r="AA52" s="42"/>
      <c r="AB52" s="43">
        <f t="shared" si="23"/>
        <v>0</v>
      </c>
      <c r="AC52" s="43">
        <f t="shared" si="24"/>
        <v>0</v>
      </c>
    </row>
    <row r="53" spans="1:29" ht="18.75" x14ac:dyDescent="0.3">
      <c r="A53" s="9">
        <v>9</v>
      </c>
      <c r="B53" s="33" t="s">
        <v>48</v>
      </c>
      <c r="C53" s="33" t="s">
        <v>42</v>
      </c>
      <c r="D53" s="33">
        <v>1</v>
      </c>
      <c r="E53" s="33">
        <v>8</v>
      </c>
      <c r="F53" s="33">
        <v>5</v>
      </c>
      <c r="G53" s="33">
        <v>301</v>
      </c>
      <c r="H53" s="33">
        <v>4</v>
      </c>
      <c r="I53" s="33">
        <v>1</v>
      </c>
      <c r="J53" s="33">
        <v>2</v>
      </c>
      <c r="K53" s="33">
        <v>7</v>
      </c>
      <c r="L53" s="33">
        <v>0</v>
      </c>
      <c r="M53" s="33">
        <v>2541</v>
      </c>
      <c r="N53" s="33">
        <v>1</v>
      </c>
      <c r="O53" s="33">
        <v>1</v>
      </c>
      <c r="P53" s="9">
        <v>0</v>
      </c>
      <c r="Q53" s="10"/>
      <c r="R53" s="11">
        <v>5000</v>
      </c>
      <c r="S53" s="11">
        <v>5000</v>
      </c>
      <c r="T53" s="11">
        <v>5000</v>
      </c>
      <c r="U53" s="11">
        <v>0</v>
      </c>
      <c r="V53" s="11">
        <v>0</v>
      </c>
      <c r="W53" s="11">
        <v>0</v>
      </c>
      <c r="X53" s="31">
        <v>0</v>
      </c>
      <c r="Y53" s="41">
        <f t="shared" si="20"/>
        <v>5000</v>
      </c>
      <c r="Z53" s="42">
        <v>0</v>
      </c>
      <c r="AA53" s="42"/>
      <c r="AB53" s="43">
        <f t="shared" si="23"/>
        <v>0</v>
      </c>
      <c r="AC53" s="43">
        <f t="shared" si="24"/>
        <v>0</v>
      </c>
    </row>
    <row r="54" spans="1:29" ht="18.75" x14ac:dyDescent="0.3">
      <c r="A54" s="9">
        <v>9</v>
      </c>
      <c r="B54" s="33" t="s">
        <v>48</v>
      </c>
      <c r="C54" s="33" t="s">
        <v>42</v>
      </c>
      <c r="D54" s="33">
        <v>1</v>
      </c>
      <c r="E54" s="33">
        <v>8</v>
      </c>
      <c r="F54" s="33">
        <v>5</v>
      </c>
      <c r="G54" s="33">
        <v>301</v>
      </c>
      <c r="H54" s="33">
        <v>4</v>
      </c>
      <c r="I54" s="33">
        <v>1</v>
      </c>
      <c r="J54" s="33">
        <v>2</v>
      </c>
      <c r="K54" s="33">
        <v>7</v>
      </c>
      <c r="L54" s="33">
        <v>0</v>
      </c>
      <c r="M54" s="33">
        <v>2911</v>
      </c>
      <c r="N54" s="33">
        <v>1</v>
      </c>
      <c r="O54" s="33">
        <v>1</v>
      </c>
      <c r="P54" s="9">
        <v>0</v>
      </c>
      <c r="Q54" s="10"/>
      <c r="R54" s="11">
        <v>7500</v>
      </c>
      <c r="S54" s="11">
        <v>7500</v>
      </c>
      <c r="T54" s="11">
        <v>7500</v>
      </c>
      <c r="U54" s="11">
        <v>0</v>
      </c>
      <c r="V54" s="11">
        <v>941</v>
      </c>
      <c r="W54" s="11">
        <v>0</v>
      </c>
      <c r="X54" s="31">
        <v>0</v>
      </c>
      <c r="Y54" s="41">
        <f t="shared" si="20"/>
        <v>6559</v>
      </c>
      <c r="Z54" s="42">
        <v>0</v>
      </c>
      <c r="AA54" s="42"/>
      <c r="AB54" s="43">
        <f t="shared" si="23"/>
        <v>0</v>
      </c>
      <c r="AC54" s="43">
        <f t="shared" si="24"/>
        <v>0</v>
      </c>
    </row>
    <row r="55" spans="1:29" ht="18.75" x14ac:dyDescent="0.3">
      <c r="A55" s="9">
        <v>9</v>
      </c>
      <c r="B55" s="33" t="s">
        <v>48</v>
      </c>
      <c r="C55" s="33" t="s">
        <v>42</v>
      </c>
      <c r="D55" s="33">
        <v>1</v>
      </c>
      <c r="E55" s="33">
        <v>8</v>
      </c>
      <c r="F55" s="33">
        <v>5</v>
      </c>
      <c r="G55" s="33">
        <v>301</v>
      </c>
      <c r="H55" s="33">
        <v>4</v>
      </c>
      <c r="I55" s="33">
        <v>1</v>
      </c>
      <c r="J55" s="33">
        <v>2</v>
      </c>
      <c r="K55" s="33">
        <v>7</v>
      </c>
      <c r="L55" s="33">
        <v>0</v>
      </c>
      <c r="M55" s="33">
        <v>2921</v>
      </c>
      <c r="N55" s="33">
        <v>1</v>
      </c>
      <c r="O55" s="33">
        <v>1</v>
      </c>
      <c r="P55" s="9">
        <v>0</v>
      </c>
      <c r="Q55" s="10"/>
      <c r="R55" s="11">
        <v>7000</v>
      </c>
      <c r="S55" s="11">
        <v>7000</v>
      </c>
      <c r="T55" s="11">
        <v>6000</v>
      </c>
      <c r="U55" s="11">
        <v>202.58</v>
      </c>
      <c r="V55" s="11">
        <v>365.51</v>
      </c>
      <c r="W55" s="11">
        <v>0</v>
      </c>
      <c r="X55" s="31">
        <v>0</v>
      </c>
      <c r="Y55" s="41">
        <f t="shared" si="20"/>
        <v>6634.49</v>
      </c>
      <c r="Z55" s="42">
        <v>0</v>
      </c>
      <c r="AA55" s="42"/>
      <c r="AB55" s="43">
        <f t="shared" si="23"/>
        <v>0</v>
      </c>
      <c r="AC55" s="43">
        <f t="shared" si="24"/>
        <v>202.58</v>
      </c>
    </row>
    <row r="56" spans="1:29" ht="18.75" x14ac:dyDescent="0.3">
      <c r="A56" s="9">
        <v>9</v>
      </c>
      <c r="B56" s="33" t="s">
        <v>48</v>
      </c>
      <c r="C56" s="33" t="s">
        <v>42</v>
      </c>
      <c r="D56" s="33">
        <v>1</v>
      </c>
      <c r="E56" s="33">
        <v>8</v>
      </c>
      <c r="F56" s="33">
        <v>5</v>
      </c>
      <c r="G56" s="33">
        <v>301</v>
      </c>
      <c r="H56" s="33">
        <v>4</v>
      </c>
      <c r="I56" s="33">
        <v>1</v>
      </c>
      <c r="J56" s="33">
        <v>2</v>
      </c>
      <c r="K56" s="33">
        <v>7</v>
      </c>
      <c r="L56" s="33">
        <v>0</v>
      </c>
      <c r="M56" s="33">
        <v>2931</v>
      </c>
      <c r="N56" s="33">
        <v>1</v>
      </c>
      <c r="O56" s="33">
        <v>1</v>
      </c>
      <c r="P56" s="9">
        <v>0</v>
      </c>
      <c r="Q56" s="10"/>
      <c r="R56" s="11">
        <v>5000</v>
      </c>
      <c r="S56" s="11">
        <v>5000</v>
      </c>
      <c r="T56" s="11">
        <v>3753</v>
      </c>
      <c r="U56" s="11">
        <v>0</v>
      </c>
      <c r="V56" s="11">
        <v>3227.81</v>
      </c>
      <c r="W56" s="11">
        <v>0</v>
      </c>
      <c r="X56" s="31">
        <v>0</v>
      </c>
      <c r="Y56" s="41">
        <f t="shared" si="20"/>
        <v>1772.19</v>
      </c>
      <c r="Z56" s="42">
        <v>0</v>
      </c>
      <c r="AA56" s="42"/>
      <c r="AB56" s="43">
        <f t="shared" si="23"/>
        <v>0</v>
      </c>
      <c r="AC56" s="43">
        <f t="shared" si="24"/>
        <v>0</v>
      </c>
    </row>
    <row r="57" spans="1:29" ht="18.75" x14ac:dyDescent="0.3">
      <c r="A57" s="33"/>
      <c r="B57" s="33"/>
      <c r="C57" s="33"/>
      <c r="D57" s="9"/>
      <c r="E57" s="9"/>
      <c r="F57" s="9"/>
      <c r="G57" s="9"/>
      <c r="H57" s="9"/>
      <c r="I57" s="9"/>
      <c r="J57" s="9"/>
      <c r="K57" s="9"/>
      <c r="L57" s="9"/>
      <c r="M57" s="9"/>
      <c r="N57" s="175" t="s">
        <v>14</v>
      </c>
      <c r="O57" s="175"/>
      <c r="P57" s="175"/>
      <c r="Q57" s="175"/>
      <c r="R57" s="26">
        <f>SUM(R39:R56)</f>
        <v>399500</v>
      </c>
      <c r="S57" s="26">
        <f t="shared" ref="S57:V57" si="25">SUM(S39:S56)</f>
        <v>399500</v>
      </c>
      <c r="T57" s="26">
        <f t="shared" si="25"/>
        <v>376628</v>
      </c>
      <c r="U57" s="26">
        <f>SUM(U39:U56)</f>
        <v>202.58</v>
      </c>
      <c r="V57" s="26">
        <f t="shared" si="25"/>
        <v>305162.7</v>
      </c>
      <c r="W57" s="26">
        <f>SUM(W39:W56)</f>
        <v>0</v>
      </c>
      <c r="X57" s="38">
        <f>SUM(X39:X56)</f>
        <v>0</v>
      </c>
      <c r="Y57" s="44">
        <f>SUM(Y39:Y56)</f>
        <v>94337.3</v>
      </c>
      <c r="Z57" s="44">
        <f t="shared" ref="Z57:AC57" si="26">SUM(Z39:Z56)</f>
        <v>0</v>
      </c>
      <c r="AA57" s="44">
        <f t="shared" si="26"/>
        <v>0</v>
      </c>
      <c r="AB57" s="44">
        <f t="shared" si="26"/>
        <v>0</v>
      </c>
      <c r="AC57" s="44">
        <f t="shared" si="26"/>
        <v>202.58</v>
      </c>
    </row>
    <row r="58" spans="1:29" ht="18.75" x14ac:dyDescent="0.3">
      <c r="A58" s="9">
        <v>9</v>
      </c>
      <c r="B58" s="33" t="s">
        <v>48</v>
      </c>
      <c r="C58" s="33" t="s">
        <v>42</v>
      </c>
      <c r="D58" s="33">
        <v>1</v>
      </c>
      <c r="E58" s="33">
        <v>8</v>
      </c>
      <c r="F58" s="33">
        <v>5</v>
      </c>
      <c r="G58" s="33">
        <v>301</v>
      </c>
      <c r="H58" s="33">
        <v>4</v>
      </c>
      <c r="I58" s="33">
        <v>1</v>
      </c>
      <c r="J58" s="33">
        <v>2</v>
      </c>
      <c r="K58" s="33">
        <v>7</v>
      </c>
      <c r="L58" s="33">
        <v>0</v>
      </c>
      <c r="M58" s="33">
        <v>3112</v>
      </c>
      <c r="N58" s="33">
        <v>1</v>
      </c>
      <c r="O58" s="33">
        <v>1</v>
      </c>
      <c r="P58" s="9">
        <v>0</v>
      </c>
      <c r="Q58" s="10"/>
      <c r="R58" s="11">
        <v>400000</v>
      </c>
      <c r="S58" s="11">
        <v>400000</v>
      </c>
      <c r="T58" s="11">
        <v>400000</v>
      </c>
      <c r="U58" s="11">
        <v>0</v>
      </c>
      <c r="V58" s="11">
        <v>318860.87</v>
      </c>
      <c r="W58" s="11">
        <v>0</v>
      </c>
      <c r="X58" s="31">
        <v>81139.13</v>
      </c>
      <c r="Y58" s="41">
        <f t="shared" ref="Y58:Y78" si="27">+S58-V58-X58-W58</f>
        <v>0</v>
      </c>
      <c r="Z58" s="42">
        <v>81139.13</v>
      </c>
      <c r="AA58" s="42"/>
      <c r="AB58" s="43">
        <f t="shared" ref="AB58:AB78" si="28">+Z58-X58+AA58-W58</f>
        <v>0</v>
      </c>
      <c r="AC58" s="43">
        <f t="shared" ref="AC58:AC78" si="29">+U58-AB58</f>
        <v>0</v>
      </c>
    </row>
    <row r="59" spans="1:29" ht="18.75" x14ac:dyDescent="0.3">
      <c r="A59" s="9">
        <v>9</v>
      </c>
      <c r="B59" s="33" t="s">
        <v>48</v>
      </c>
      <c r="C59" s="33" t="s">
        <v>42</v>
      </c>
      <c r="D59" s="33">
        <v>1</v>
      </c>
      <c r="E59" s="33">
        <v>8</v>
      </c>
      <c r="F59" s="33">
        <v>5</v>
      </c>
      <c r="G59" s="33">
        <v>301</v>
      </c>
      <c r="H59" s="33">
        <v>4</v>
      </c>
      <c r="I59" s="33">
        <v>1</v>
      </c>
      <c r="J59" s="33">
        <v>2</v>
      </c>
      <c r="K59" s="33">
        <v>7</v>
      </c>
      <c r="L59" s="33">
        <v>0</v>
      </c>
      <c r="M59" s="33">
        <v>3131</v>
      </c>
      <c r="N59" s="33">
        <v>1</v>
      </c>
      <c r="O59" s="33">
        <v>1</v>
      </c>
      <c r="P59" s="9">
        <v>0</v>
      </c>
      <c r="Q59" s="10"/>
      <c r="R59" s="11">
        <v>45000</v>
      </c>
      <c r="S59" s="11">
        <v>45000</v>
      </c>
      <c r="T59" s="11">
        <v>33750</v>
      </c>
      <c r="U59" s="11">
        <v>3750</v>
      </c>
      <c r="V59" s="11">
        <v>18750</v>
      </c>
      <c r="W59" s="11">
        <v>0</v>
      </c>
      <c r="X59" s="31">
        <v>26250</v>
      </c>
      <c r="Y59" s="41">
        <f t="shared" si="27"/>
        <v>0</v>
      </c>
      <c r="Z59" s="42">
        <v>30000</v>
      </c>
      <c r="AA59" s="42"/>
      <c r="AB59" s="43">
        <f t="shared" si="28"/>
        <v>3750</v>
      </c>
      <c r="AC59" s="43">
        <f t="shared" si="29"/>
        <v>0</v>
      </c>
    </row>
    <row r="60" spans="1:29" ht="18.75" x14ac:dyDescent="0.3">
      <c r="A60" s="9">
        <v>9</v>
      </c>
      <c r="B60" s="33" t="s">
        <v>48</v>
      </c>
      <c r="C60" s="33" t="s">
        <v>42</v>
      </c>
      <c r="D60" s="33">
        <v>1</v>
      </c>
      <c r="E60" s="33">
        <v>8</v>
      </c>
      <c r="F60" s="33">
        <v>5</v>
      </c>
      <c r="G60" s="33">
        <v>301</v>
      </c>
      <c r="H60" s="33">
        <v>4</v>
      </c>
      <c r="I60" s="33">
        <v>1</v>
      </c>
      <c r="J60" s="33">
        <v>2</v>
      </c>
      <c r="K60" s="33">
        <v>7</v>
      </c>
      <c r="L60" s="33">
        <v>0</v>
      </c>
      <c r="M60" s="33">
        <v>3141</v>
      </c>
      <c r="N60" s="33">
        <v>1</v>
      </c>
      <c r="O60" s="33">
        <v>1</v>
      </c>
      <c r="P60" s="9">
        <v>22</v>
      </c>
      <c r="Q60" s="10"/>
      <c r="R60" s="11">
        <v>200000</v>
      </c>
      <c r="S60" s="11">
        <v>200000</v>
      </c>
      <c r="T60" s="11">
        <v>150003</v>
      </c>
      <c r="U60" s="11">
        <v>0</v>
      </c>
      <c r="V60" s="11">
        <v>133336</v>
      </c>
      <c r="W60" s="11">
        <v>0</v>
      </c>
      <c r="X60" s="31">
        <v>66664</v>
      </c>
      <c r="Y60" s="41">
        <f t="shared" si="27"/>
        <v>0</v>
      </c>
      <c r="Z60" s="42">
        <v>66664</v>
      </c>
      <c r="AA60" s="42"/>
      <c r="AB60" s="43">
        <f t="shared" si="28"/>
        <v>0</v>
      </c>
      <c r="AC60" s="43">
        <f t="shared" si="29"/>
        <v>0</v>
      </c>
    </row>
    <row r="61" spans="1:29" ht="18.75" x14ac:dyDescent="0.3">
      <c r="A61" s="9">
        <v>9</v>
      </c>
      <c r="B61" s="33" t="s">
        <v>48</v>
      </c>
      <c r="C61" s="33" t="s">
        <v>42</v>
      </c>
      <c r="D61" s="33">
        <v>1</v>
      </c>
      <c r="E61" s="33">
        <v>8</v>
      </c>
      <c r="F61" s="33">
        <v>5</v>
      </c>
      <c r="G61" s="33">
        <v>301</v>
      </c>
      <c r="H61" s="33">
        <v>4</v>
      </c>
      <c r="I61" s="33">
        <v>1</v>
      </c>
      <c r="J61" s="33">
        <v>2</v>
      </c>
      <c r="K61" s="33">
        <v>7</v>
      </c>
      <c r="L61" s="33">
        <v>0</v>
      </c>
      <c r="M61" s="33">
        <v>3171</v>
      </c>
      <c r="N61" s="33">
        <v>1</v>
      </c>
      <c r="O61" s="33">
        <v>1</v>
      </c>
      <c r="P61" s="9">
        <v>0</v>
      </c>
      <c r="Q61" s="10"/>
      <c r="R61" s="11">
        <v>150000</v>
      </c>
      <c r="S61" s="11">
        <v>150000</v>
      </c>
      <c r="T61" s="11">
        <v>112500</v>
      </c>
      <c r="U61" s="11">
        <v>0</v>
      </c>
      <c r="V61" s="11">
        <v>100000</v>
      </c>
      <c r="W61" s="11">
        <v>0</v>
      </c>
      <c r="X61" s="31">
        <v>50000</v>
      </c>
      <c r="Y61" s="41">
        <f t="shared" si="27"/>
        <v>0</v>
      </c>
      <c r="Z61" s="42">
        <v>50000</v>
      </c>
      <c r="AA61" s="42"/>
      <c r="AB61" s="43">
        <f t="shared" si="28"/>
        <v>0</v>
      </c>
      <c r="AC61" s="43">
        <f t="shared" si="29"/>
        <v>0</v>
      </c>
    </row>
    <row r="62" spans="1:29" ht="18.75" x14ac:dyDescent="0.3">
      <c r="A62" s="9">
        <v>9</v>
      </c>
      <c r="B62" s="33" t="s">
        <v>48</v>
      </c>
      <c r="C62" s="33" t="s">
        <v>42</v>
      </c>
      <c r="D62" s="33">
        <v>1</v>
      </c>
      <c r="E62" s="33">
        <v>8</v>
      </c>
      <c r="F62" s="33">
        <v>5</v>
      </c>
      <c r="G62" s="33">
        <v>301</v>
      </c>
      <c r="H62" s="33">
        <v>4</v>
      </c>
      <c r="I62" s="33">
        <v>1</v>
      </c>
      <c r="J62" s="33">
        <v>2</v>
      </c>
      <c r="K62" s="33">
        <v>7</v>
      </c>
      <c r="L62" s="33">
        <v>0</v>
      </c>
      <c r="M62" s="33">
        <v>3191</v>
      </c>
      <c r="N62" s="33">
        <v>1</v>
      </c>
      <c r="O62" s="33">
        <v>1</v>
      </c>
      <c r="P62" s="9">
        <v>0</v>
      </c>
      <c r="Q62" s="10"/>
      <c r="R62" s="11">
        <v>9000</v>
      </c>
      <c r="S62" s="11">
        <v>9000</v>
      </c>
      <c r="T62" s="11">
        <v>6750</v>
      </c>
      <c r="U62" s="11">
        <v>574.14</v>
      </c>
      <c r="V62" s="11">
        <v>2525.87</v>
      </c>
      <c r="W62" s="11">
        <v>0</v>
      </c>
      <c r="X62" s="31">
        <v>6474.13</v>
      </c>
      <c r="Y62" s="41">
        <f t="shared" si="27"/>
        <v>0</v>
      </c>
      <c r="Z62" s="42">
        <v>7048.27</v>
      </c>
      <c r="AA62" s="42"/>
      <c r="AB62" s="43">
        <f t="shared" si="28"/>
        <v>574.14000000000033</v>
      </c>
      <c r="AC62" s="43">
        <f t="shared" si="29"/>
        <v>0</v>
      </c>
    </row>
    <row r="63" spans="1:29" ht="18.75" x14ac:dyDescent="0.3">
      <c r="A63" s="9">
        <v>9</v>
      </c>
      <c r="B63" s="33" t="s">
        <v>48</v>
      </c>
      <c r="C63" s="33" t="s">
        <v>42</v>
      </c>
      <c r="D63" s="33">
        <v>1</v>
      </c>
      <c r="E63" s="33">
        <v>8</v>
      </c>
      <c r="F63" s="33">
        <v>5</v>
      </c>
      <c r="G63" s="33">
        <v>301</v>
      </c>
      <c r="H63" s="33">
        <v>4</v>
      </c>
      <c r="I63" s="33">
        <v>1</v>
      </c>
      <c r="J63" s="33">
        <v>2</v>
      </c>
      <c r="K63" s="33">
        <v>7</v>
      </c>
      <c r="L63" s="33">
        <v>0</v>
      </c>
      <c r="M63" s="33">
        <v>3221</v>
      </c>
      <c r="N63" s="33">
        <v>1</v>
      </c>
      <c r="O63" s="33">
        <v>1</v>
      </c>
      <c r="P63" s="9">
        <v>0</v>
      </c>
      <c r="Q63" s="10"/>
      <c r="R63" s="11">
        <v>1404000</v>
      </c>
      <c r="S63" s="11">
        <v>1404000</v>
      </c>
      <c r="T63" s="11">
        <v>1019127</v>
      </c>
      <c r="U63" s="11">
        <v>128292</v>
      </c>
      <c r="V63" s="11">
        <v>1019127</v>
      </c>
      <c r="W63" s="11">
        <v>0</v>
      </c>
      <c r="X63" s="31">
        <v>384873</v>
      </c>
      <c r="Y63" s="41">
        <f t="shared" si="27"/>
        <v>0</v>
      </c>
      <c r="Z63" s="42">
        <v>513165</v>
      </c>
      <c r="AA63" s="42"/>
      <c r="AB63" s="43">
        <f t="shared" si="28"/>
        <v>128292</v>
      </c>
      <c r="AC63" s="43">
        <f t="shared" si="29"/>
        <v>0</v>
      </c>
    </row>
    <row r="64" spans="1:29" ht="18.75" x14ac:dyDescent="0.3">
      <c r="A64" s="9">
        <v>9</v>
      </c>
      <c r="B64" s="33" t="s">
        <v>48</v>
      </c>
      <c r="C64" s="33" t="s">
        <v>42</v>
      </c>
      <c r="D64" s="33">
        <v>1</v>
      </c>
      <c r="E64" s="33">
        <v>8</v>
      </c>
      <c r="F64" s="33">
        <v>5</v>
      </c>
      <c r="G64" s="33">
        <v>301</v>
      </c>
      <c r="H64" s="33">
        <v>4</v>
      </c>
      <c r="I64" s="33">
        <v>1</v>
      </c>
      <c r="J64" s="33">
        <v>2</v>
      </c>
      <c r="K64" s="33">
        <v>7</v>
      </c>
      <c r="L64" s="33">
        <v>0</v>
      </c>
      <c r="M64" s="33">
        <v>3341</v>
      </c>
      <c r="N64" s="33">
        <v>1</v>
      </c>
      <c r="O64" s="33">
        <v>1</v>
      </c>
      <c r="P64" s="9">
        <v>0</v>
      </c>
      <c r="Q64" s="10"/>
      <c r="R64" s="11">
        <v>75000</v>
      </c>
      <c r="S64" s="11">
        <v>75000</v>
      </c>
      <c r="T64" s="11">
        <v>75000</v>
      </c>
      <c r="U64" s="11">
        <v>11918.7</v>
      </c>
      <c r="V64" s="11">
        <v>11918.7</v>
      </c>
      <c r="W64" s="11">
        <v>0</v>
      </c>
      <c r="X64" s="31">
        <v>0</v>
      </c>
      <c r="Y64" s="41">
        <f t="shared" si="27"/>
        <v>63081.3</v>
      </c>
      <c r="Z64" s="42">
        <v>0</v>
      </c>
      <c r="AA64" s="42"/>
      <c r="AB64" s="43">
        <f t="shared" si="28"/>
        <v>0</v>
      </c>
      <c r="AC64" s="43">
        <f t="shared" si="29"/>
        <v>11918.7</v>
      </c>
    </row>
    <row r="65" spans="1:29" ht="18.75" x14ac:dyDescent="0.3">
      <c r="A65" s="9">
        <v>9</v>
      </c>
      <c r="B65" s="33" t="s">
        <v>48</v>
      </c>
      <c r="C65" s="33" t="s">
        <v>42</v>
      </c>
      <c r="D65" s="33">
        <v>1</v>
      </c>
      <c r="E65" s="33">
        <v>8</v>
      </c>
      <c r="F65" s="33">
        <v>5</v>
      </c>
      <c r="G65" s="33">
        <v>301</v>
      </c>
      <c r="H65" s="33">
        <v>4</v>
      </c>
      <c r="I65" s="33">
        <v>1</v>
      </c>
      <c r="J65" s="33">
        <v>2</v>
      </c>
      <c r="K65" s="33">
        <v>7</v>
      </c>
      <c r="L65" s="33">
        <v>0</v>
      </c>
      <c r="M65" s="33">
        <v>3361</v>
      </c>
      <c r="N65" s="33">
        <v>1</v>
      </c>
      <c r="O65" s="33">
        <v>1</v>
      </c>
      <c r="P65" s="9">
        <v>0</v>
      </c>
      <c r="Q65" s="10"/>
      <c r="R65" s="11">
        <v>200000</v>
      </c>
      <c r="S65" s="11">
        <v>200000</v>
      </c>
      <c r="T65" s="11">
        <v>150003</v>
      </c>
      <c r="U65" s="11">
        <v>0</v>
      </c>
      <c r="V65" s="11">
        <v>8818.86</v>
      </c>
      <c r="W65" s="11">
        <v>0</v>
      </c>
      <c r="X65" s="31">
        <v>150000</v>
      </c>
      <c r="Y65" s="41">
        <f t="shared" si="27"/>
        <v>41181.140000000014</v>
      </c>
      <c r="Z65" s="42">
        <v>150000</v>
      </c>
      <c r="AA65" s="42"/>
      <c r="AB65" s="43">
        <f t="shared" si="28"/>
        <v>0</v>
      </c>
      <c r="AC65" s="43">
        <f t="shared" si="29"/>
        <v>0</v>
      </c>
    </row>
    <row r="66" spans="1:29" ht="18.75" x14ac:dyDescent="0.3">
      <c r="A66" s="9">
        <v>9</v>
      </c>
      <c r="B66" s="33" t="s">
        <v>48</v>
      </c>
      <c r="C66" s="33" t="s">
        <v>42</v>
      </c>
      <c r="D66" s="33">
        <v>1</v>
      </c>
      <c r="E66" s="33">
        <v>8</v>
      </c>
      <c r="F66" s="33">
        <v>5</v>
      </c>
      <c r="G66" s="33">
        <v>301</v>
      </c>
      <c r="H66" s="33">
        <v>4</v>
      </c>
      <c r="I66" s="33">
        <v>1</v>
      </c>
      <c r="J66" s="33">
        <v>2</v>
      </c>
      <c r="K66" s="33">
        <v>7</v>
      </c>
      <c r="L66" s="33">
        <v>0</v>
      </c>
      <c r="M66" s="33">
        <v>3362</v>
      </c>
      <c r="N66" s="33">
        <v>1</v>
      </c>
      <c r="O66" s="33">
        <v>1</v>
      </c>
      <c r="P66" s="9">
        <v>0</v>
      </c>
      <c r="Q66" s="10"/>
      <c r="R66" s="11">
        <v>200000</v>
      </c>
      <c r="S66" s="11">
        <v>200000</v>
      </c>
      <c r="T66" s="11">
        <v>150003</v>
      </c>
      <c r="U66" s="11">
        <v>0</v>
      </c>
      <c r="V66" s="11">
        <v>15247.47</v>
      </c>
      <c r="W66" s="11">
        <v>0</v>
      </c>
      <c r="X66" s="31">
        <v>0</v>
      </c>
      <c r="Y66" s="41">
        <f t="shared" si="27"/>
        <v>184752.53</v>
      </c>
      <c r="Z66" s="42">
        <v>0</v>
      </c>
      <c r="AA66" s="42"/>
      <c r="AB66" s="43">
        <f t="shared" si="28"/>
        <v>0</v>
      </c>
      <c r="AC66" s="43">
        <f t="shared" si="29"/>
        <v>0</v>
      </c>
    </row>
    <row r="67" spans="1:29" ht="18.75" x14ac:dyDescent="0.3">
      <c r="A67" s="9">
        <v>9</v>
      </c>
      <c r="B67" s="33" t="s">
        <v>48</v>
      </c>
      <c r="C67" s="33" t="s">
        <v>42</v>
      </c>
      <c r="D67" s="33">
        <v>1</v>
      </c>
      <c r="E67" s="33">
        <v>8</v>
      </c>
      <c r="F67" s="33">
        <v>5</v>
      </c>
      <c r="G67" s="33">
        <v>301</v>
      </c>
      <c r="H67" s="33">
        <v>4</v>
      </c>
      <c r="I67" s="33">
        <v>1</v>
      </c>
      <c r="J67" s="33">
        <v>2</v>
      </c>
      <c r="K67" s="33">
        <v>7</v>
      </c>
      <c r="L67" s="33">
        <v>0</v>
      </c>
      <c r="M67" s="33">
        <v>3381</v>
      </c>
      <c r="N67" s="33">
        <v>1</v>
      </c>
      <c r="O67" s="33">
        <v>1</v>
      </c>
      <c r="P67" s="9">
        <v>0</v>
      </c>
      <c r="Q67" s="10"/>
      <c r="R67" s="11">
        <v>183360</v>
      </c>
      <c r="S67" s="11">
        <v>183360</v>
      </c>
      <c r="T67" s="11">
        <v>137520</v>
      </c>
      <c r="U67" s="11">
        <v>15280</v>
      </c>
      <c r="V67" s="11">
        <v>122240</v>
      </c>
      <c r="W67" s="11">
        <v>0</v>
      </c>
      <c r="X67" s="31">
        <v>61120</v>
      </c>
      <c r="Y67" s="41">
        <f t="shared" si="27"/>
        <v>0</v>
      </c>
      <c r="Z67" s="42">
        <v>76400</v>
      </c>
      <c r="AA67" s="42"/>
      <c r="AB67" s="43">
        <f t="shared" si="28"/>
        <v>15280</v>
      </c>
      <c r="AC67" s="43">
        <f t="shared" si="29"/>
        <v>0</v>
      </c>
    </row>
    <row r="68" spans="1:29" ht="18.75" x14ac:dyDescent="0.3">
      <c r="A68" s="9">
        <v>9</v>
      </c>
      <c r="B68" s="33" t="s">
        <v>48</v>
      </c>
      <c r="C68" s="33" t="s">
        <v>42</v>
      </c>
      <c r="D68" s="33">
        <v>1</v>
      </c>
      <c r="E68" s="33">
        <v>8</v>
      </c>
      <c r="F68" s="33">
        <v>5</v>
      </c>
      <c r="G68" s="33">
        <v>301</v>
      </c>
      <c r="H68" s="33">
        <v>4</v>
      </c>
      <c r="I68" s="33">
        <v>1</v>
      </c>
      <c r="J68" s="33">
        <v>2</v>
      </c>
      <c r="K68" s="33">
        <v>7</v>
      </c>
      <c r="L68" s="33">
        <v>0</v>
      </c>
      <c r="M68" s="33">
        <v>3451</v>
      </c>
      <c r="N68" s="33">
        <v>1</v>
      </c>
      <c r="O68" s="33">
        <v>1</v>
      </c>
      <c r="P68" s="9">
        <v>0</v>
      </c>
      <c r="Q68" s="10"/>
      <c r="R68" s="11">
        <v>100000</v>
      </c>
      <c r="S68" s="11">
        <v>100000</v>
      </c>
      <c r="T68" s="11">
        <v>74997</v>
      </c>
      <c r="U68" s="11">
        <v>8938.7199999999993</v>
      </c>
      <c r="V68" s="11">
        <v>69565</v>
      </c>
      <c r="W68" s="11">
        <v>0</v>
      </c>
      <c r="X68" s="31">
        <v>17877.440000000002</v>
      </c>
      <c r="Y68" s="41">
        <f t="shared" si="27"/>
        <v>12557.559999999998</v>
      </c>
      <c r="Z68" s="42">
        <v>26816.160000000003</v>
      </c>
      <c r="AA68" s="42"/>
      <c r="AB68" s="43">
        <f t="shared" si="28"/>
        <v>8938.7200000000012</v>
      </c>
      <c r="AC68" s="43">
        <f t="shared" si="29"/>
        <v>0</v>
      </c>
    </row>
    <row r="69" spans="1:29" ht="18.75" x14ac:dyDescent="0.3">
      <c r="A69" s="9">
        <v>9</v>
      </c>
      <c r="B69" s="33" t="s">
        <v>48</v>
      </c>
      <c r="C69" s="33" t="s">
        <v>42</v>
      </c>
      <c r="D69" s="33">
        <v>1</v>
      </c>
      <c r="E69" s="33">
        <v>8</v>
      </c>
      <c r="F69" s="33">
        <v>5</v>
      </c>
      <c r="G69" s="33">
        <v>301</v>
      </c>
      <c r="H69" s="33">
        <v>4</v>
      </c>
      <c r="I69" s="33">
        <v>1</v>
      </c>
      <c r="J69" s="33">
        <v>2</v>
      </c>
      <c r="K69" s="33">
        <v>7</v>
      </c>
      <c r="L69" s="33">
        <v>0</v>
      </c>
      <c r="M69" s="33">
        <v>3461</v>
      </c>
      <c r="N69" s="33">
        <v>1</v>
      </c>
      <c r="O69" s="33">
        <v>1</v>
      </c>
      <c r="P69" s="9">
        <v>0</v>
      </c>
      <c r="Q69" s="10"/>
      <c r="R69" s="11">
        <v>250000</v>
      </c>
      <c r="S69" s="11">
        <v>250000</v>
      </c>
      <c r="T69" s="11">
        <v>187497</v>
      </c>
      <c r="U69" s="11">
        <v>27866.32</v>
      </c>
      <c r="V69" s="11">
        <v>76716.299999999988</v>
      </c>
      <c r="W69" s="11">
        <v>0</v>
      </c>
      <c r="X69" s="31">
        <v>68279.700000000012</v>
      </c>
      <c r="Y69" s="41">
        <f t="shared" si="27"/>
        <v>105004</v>
      </c>
      <c r="Z69" s="42">
        <v>96146.02</v>
      </c>
      <c r="AA69" s="42"/>
      <c r="AB69" s="43">
        <f t="shared" si="28"/>
        <v>27866.319999999992</v>
      </c>
      <c r="AC69" s="43">
        <f t="shared" si="29"/>
        <v>0</v>
      </c>
    </row>
    <row r="70" spans="1:29" s="2" customFormat="1" ht="18.75" x14ac:dyDescent="0.3">
      <c r="A70" s="9">
        <v>9</v>
      </c>
      <c r="B70" s="33" t="s">
        <v>48</v>
      </c>
      <c r="C70" s="33" t="s">
        <v>42</v>
      </c>
      <c r="D70" s="33">
        <v>1</v>
      </c>
      <c r="E70" s="33">
        <v>8</v>
      </c>
      <c r="F70" s="33">
        <v>5</v>
      </c>
      <c r="G70" s="33">
        <v>301</v>
      </c>
      <c r="H70" s="33">
        <v>4</v>
      </c>
      <c r="I70" s="33">
        <v>1</v>
      </c>
      <c r="J70" s="33">
        <v>2</v>
      </c>
      <c r="K70" s="33">
        <v>7</v>
      </c>
      <c r="L70" s="33">
        <v>0</v>
      </c>
      <c r="M70" s="33">
        <v>3521</v>
      </c>
      <c r="N70" s="33">
        <v>1</v>
      </c>
      <c r="O70" s="33">
        <v>1</v>
      </c>
      <c r="P70" s="9">
        <v>0</v>
      </c>
      <c r="Q70" s="12"/>
      <c r="R70" s="11">
        <v>60000</v>
      </c>
      <c r="S70" s="11">
        <v>60000</v>
      </c>
      <c r="T70" s="11">
        <v>60000</v>
      </c>
      <c r="U70" s="11">
        <v>0</v>
      </c>
      <c r="V70" s="11">
        <v>5981.14</v>
      </c>
      <c r="W70" s="11">
        <v>0</v>
      </c>
      <c r="X70" s="31">
        <v>0</v>
      </c>
      <c r="Y70" s="41">
        <f t="shared" si="27"/>
        <v>54018.86</v>
      </c>
      <c r="Z70" s="42">
        <v>0</v>
      </c>
      <c r="AA70" s="42"/>
      <c r="AB70" s="43">
        <f t="shared" si="28"/>
        <v>0</v>
      </c>
      <c r="AC70" s="43">
        <f t="shared" si="29"/>
        <v>0</v>
      </c>
    </row>
    <row r="71" spans="1:29" s="2" customFormat="1" ht="18.75" x14ac:dyDescent="0.3">
      <c r="A71" s="9">
        <v>9</v>
      </c>
      <c r="B71" s="33" t="s">
        <v>48</v>
      </c>
      <c r="C71" s="33" t="s">
        <v>42</v>
      </c>
      <c r="D71" s="33">
        <v>1</v>
      </c>
      <c r="E71" s="33">
        <v>8</v>
      </c>
      <c r="F71" s="33">
        <v>5</v>
      </c>
      <c r="G71" s="33">
        <v>301</v>
      </c>
      <c r="H71" s="33">
        <v>4</v>
      </c>
      <c r="I71" s="33">
        <v>1</v>
      </c>
      <c r="J71" s="33">
        <v>2</v>
      </c>
      <c r="K71" s="33">
        <v>7</v>
      </c>
      <c r="L71" s="33">
        <v>0</v>
      </c>
      <c r="M71" s="33">
        <v>3581</v>
      </c>
      <c r="N71" s="33">
        <v>1</v>
      </c>
      <c r="O71" s="33">
        <v>1</v>
      </c>
      <c r="P71" s="9">
        <v>0</v>
      </c>
      <c r="Q71" s="12"/>
      <c r="R71" s="11">
        <v>340000</v>
      </c>
      <c r="S71" s="11">
        <v>340000</v>
      </c>
      <c r="T71" s="11">
        <v>254997</v>
      </c>
      <c r="U71" s="11">
        <v>28295</v>
      </c>
      <c r="V71" s="11">
        <v>217462.8</v>
      </c>
      <c r="W71" s="11">
        <v>0</v>
      </c>
      <c r="X71" s="31">
        <v>117707.20000000001</v>
      </c>
      <c r="Y71" s="41">
        <f t="shared" si="27"/>
        <v>4830</v>
      </c>
      <c r="Z71" s="42">
        <v>146002.20000000001</v>
      </c>
      <c r="AA71" s="42"/>
      <c r="AB71" s="43">
        <f t="shared" si="28"/>
        <v>28295</v>
      </c>
      <c r="AC71" s="43">
        <f t="shared" si="29"/>
        <v>0</v>
      </c>
    </row>
    <row r="72" spans="1:29" s="2" customFormat="1" ht="18.75" x14ac:dyDescent="0.3">
      <c r="A72" s="9">
        <v>9</v>
      </c>
      <c r="B72" s="33" t="s">
        <v>48</v>
      </c>
      <c r="C72" s="33" t="s">
        <v>42</v>
      </c>
      <c r="D72" s="33">
        <v>1</v>
      </c>
      <c r="E72" s="33">
        <v>8</v>
      </c>
      <c r="F72" s="33">
        <v>5</v>
      </c>
      <c r="G72" s="33">
        <v>301</v>
      </c>
      <c r="H72" s="33">
        <v>4</v>
      </c>
      <c r="I72" s="33">
        <v>1</v>
      </c>
      <c r="J72" s="33">
        <v>2</v>
      </c>
      <c r="K72" s="33">
        <v>7</v>
      </c>
      <c r="L72" s="33">
        <v>0</v>
      </c>
      <c r="M72" s="33">
        <v>3591</v>
      </c>
      <c r="N72" s="33">
        <v>1</v>
      </c>
      <c r="O72" s="33">
        <v>1</v>
      </c>
      <c r="P72" s="9">
        <v>0</v>
      </c>
      <c r="Q72" s="12"/>
      <c r="R72" s="11">
        <v>36000</v>
      </c>
      <c r="S72" s="11">
        <v>36000</v>
      </c>
      <c r="T72" s="11">
        <v>27000</v>
      </c>
      <c r="U72" s="11">
        <v>0</v>
      </c>
      <c r="V72" s="11">
        <v>15600</v>
      </c>
      <c r="W72" s="11">
        <v>0</v>
      </c>
      <c r="X72" s="31">
        <v>13000</v>
      </c>
      <c r="Y72" s="41">
        <f t="shared" si="27"/>
        <v>7400</v>
      </c>
      <c r="Z72" s="42">
        <v>13000</v>
      </c>
      <c r="AA72" s="42"/>
      <c r="AB72" s="43">
        <f t="shared" si="28"/>
        <v>0</v>
      </c>
      <c r="AC72" s="43">
        <f t="shared" si="29"/>
        <v>0</v>
      </c>
    </row>
    <row r="73" spans="1:29" s="2" customFormat="1" ht="18.75" x14ac:dyDescent="0.3">
      <c r="A73" s="9">
        <v>9</v>
      </c>
      <c r="B73" s="33" t="s">
        <v>48</v>
      </c>
      <c r="C73" s="33" t="s">
        <v>42</v>
      </c>
      <c r="D73" s="33">
        <v>1</v>
      </c>
      <c r="E73" s="33">
        <v>8</v>
      </c>
      <c r="F73" s="33">
        <v>5</v>
      </c>
      <c r="G73" s="33">
        <v>301</v>
      </c>
      <c r="H73" s="33">
        <v>4</v>
      </c>
      <c r="I73" s="33">
        <v>1</v>
      </c>
      <c r="J73" s="33">
        <v>2</v>
      </c>
      <c r="K73" s="33">
        <v>7</v>
      </c>
      <c r="L73" s="33">
        <v>0</v>
      </c>
      <c r="M73" s="33">
        <v>3722</v>
      </c>
      <c r="N73" s="33">
        <v>1</v>
      </c>
      <c r="O73" s="33">
        <v>1</v>
      </c>
      <c r="P73" s="9">
        <v>0</v>
      </c>
      <c r="Q73" s="12"/>
      <c r="R73" s="11">
        <v>35000</v>
      </c>
      <c r="S73" s="11">
        <v>35000</v>
      </c>
      <c r="T73" s="11">
        <v>26253</v>
      </c>
      <c r="U73" s="11">
        <v>800</v>
      </c>
      <c r="V73" s="11">
        <v>7200</v>
      </c>
      <c r="W73" s="11">
        <v>0</v>
      </c>
      <c r="X73" s="31">
        <v>0</v>
      </c>
      <c r="Y73" s="41">
        <f t="shared" si="27"/>
        <v>27800</v>
      </c>
      <c r="Z73" s="42">
        <v>0</v>
      </c>
      <c r="AA73" s="42"/>
      <c r="AB73" s="43">
        <f t="shared" si="28"/>
        <v>0</v>
      </c>
      <c r="AC73" s="43">
        <f t="shared" si="29"/>
        <v>800</v>
      </c>
    </row>
    <row r="74" spans="1:29" s="2" customFormat="1" ht="18.75" x14ac:dyDescent="0.3">
      <c r="A74" s="9">
        <v>9</v>
      </c>
      <c r="B74" s="33" t="s">
        <v>48</v>
      </c>
      <c r="C74" s="33" t="s">
        <v>42</v>
      </c>
      <c r="D74" s="33">
        <v>1</v>
      </c>
      <c r="E74" s="33">
        <v>8</v>
      </c>
      <c r="F74" s="33">
        <v>5</v>
      </c>
      <c r="G74" s="33">
        <v>301</v>
      </c>
      <c r="H74" s="33">
        <v>4</v>
      </c>
      <c r="I74" s="33">
        <v>1</v>
      </c>
      <c r="J74" s="33">
        <v>2</v>
      </c>
      <c r="K74" s="33">
        <v>7</v>
      </c>
      <c r="L74" s="33">
        <v>0</v>
      </c>
      <c r="M74" s="33">
        <v>3921</v>
      </c>
      <c r="N74" s="33">
        <v>1</v>
      </c>
      <c r="O74" s="33">
        <v>1</v>
      </c>
      <c r="P74" s="9">
        <v>0</v>
      </c>
      <c r="Q74" s="12"/>
      <c r="R74" s="11">
        <v>85000</v>
      </c>
      <c r="S74" s="11">
        <v>85000</v>
      </c>
      <c r="T74" s="11">
        <v>63837</v>
      </c>
      <c r="U74" s="11">
        <v>856.9</v>
      </c>
      <c r="V74" s="11">
        <v>49065.900000000009</v>
      </c>
      <c r="W74" s="11">
        <v>0</v>
      </c>
      <c r="X74" s="31">
        <v>24001.7</v>
      </c>
      <c r="Y74" s="41">
        <f t="shared" si="27"/>
        <v>11932.399999999991</v>
      </c>
      <c r="Z74" s="42">
        <v>24858.6</v>
      </c>
      <c r="AA74" s="42"/>
      <c r="AB74" s="43">
        <f t="shared" si="28"/>
        <v>856.89999999999782</v>
      </c>
      <c r="AC74" s="43">
        <f t="shared" si="29"/>
        <v>2.1600499167107046E-12</v>
      </c>
    </row>
    <row r="75" spans="1:29" s="2" customFormat="1" ht="18.75" x14ac:dyDescent="0.3">
      <c r="A75" s="9">
        <v>9</v>
      </c>
      <c r="B75" s="33" t="s">
        <v>48</v>
      </c>
      <c r="C75" s="33" t="s">
        <v>42</v>
      </c>
      <c r="D75" s="33">
        <v>1</v>
      </c>
      <c r="E75" s="33">
        <v>8</v>
      </c>
      <c r="F75" s="33">
        <v>5</v>
      </c>
      <c r="G75" s="33">
        <v>301</v>
      </c>
      <c r="H75" s="33">
        <v>4</v>
      </c>
      <c r="I75" s="33">
        <v>1</v>
      </c>
      <c r="J75" s="33">
        <v>2</v>
      </c>
      <c r="K75" s="33">
        <v>7</v>
      </c>
      <c r="L75" s="33">
        <v>0</v>
      </c>
      <c r="M75" s="33">
        <v>3951</v>
      </c>
      <c r="N75" s="33">
        <v>1</v>
      </c>
      <c r="O75" s="33">
        <v>1</v>
      </c>
      <c r="P75" s="9">
        <v>0</v>
      </c>
      <c r="Q75" s="12"/>
      <c r="R75" s="11">
        <v>15000</v>
      </c>
      <c r="S75" s="11">
        <v>15000</v>
      </c>
      <c r="T75" s="11">
        <v>15000</v>
      </c>
      <c r="U75" s="11">
        <v>0</v>
      </c>
      <c r="V75" s="11">
        <v>8.4600000000000009</v>
      </c>
      <c r="W75" s="11">
        <v>0</v>
      </c>
      <c r="X75" s="31">
        <v>0</v>
      </c>
      <c r="Y75" s="41">
        <f t="shared" si="27"/>
        <v>14991.54</v>
      </c>
      <c r="Z75" s="42">
        <v>0</v>
      </c>
      <c r="AA75" s="42"/>
      <c r="AB75" s="43">
        <f t="shared" si="28"/>
        <v>0</v>
      </c>
      <c r="AC75" s="43">
        <f t="shared" si="29"/>
        <v>0</v>
      </c>
    </row>
    <row r="76" spans="1:29" ht="18.75" x14ac:dyDescent="0.3">
      <c r="A76" s="9">
        <v>9</v>
      </c>
      <c r="B76" s="33" t="s">
        <v>48</v>
      </c>
      <c r="C76" s="33" t="s">
        <v>42</v>
      </c>
      <c r="D76" s="33">
        <v>1</v>
      </c>
      <c r="E76" s="33">
        <v>8</v>
      </c>
      <c r="F76" s="33">
        <v>5</v>
      </c>
      <c r="G76" s="33">
        <v>301</v>
      </c>
      <c r="H76" s="33">
        <v>4</v>
      </c>
      <c r="I76" s="33">
        <v>1</v>
      </c>
      <c r="J76" s="33">
        <v>2</v>
      </c>
      <c r="K76" s="33">
        <v>7</v>
      </c>
      <c r="L76" s="33">
        <v>0</v>
      </c>
      <c r="M76" s="33">
        <v>3969</v>
      </c>
      <c r="N76" s="33">
        <v>1</v>
      </c>
      <c r="O76" s="33">
        <v>1</v>
      </c>
      <c r="P76" s="9">
        <v>0</v>
      </c>
      <c r="Q76" s="10"/>
      <c r="R76" s="11">
        <v>40000</v>
      </c>
      <c r="S76" s="11">
        <v>40000</v>
      </c>
      <c r="T76" s="11">
        <v>40000</v>
      </c>
      <c r="U76" s="11">
        <v>0</v>
      </c>
      <c r="V76" s="11">
        <v>10516.220000000001</v>
      </c>
      <c r="W76" s="11">
        <v>0</v>
      </c>
      <c r="X76" s="31">
        <v>0</v>
      </c>
      <c r="Y76" s="41">
        <f t="shared" si="27"/>
        <v>29483.78</v>
      </c>
      <c r="Z76" s="42">
        <v>0</v>
      </c>
      <c r="AA76" s="42"/>
      <c r="AB76" s="43">
        <f t="shared" si="28"/>
        <v>0</v>
      </c>
      <c r="AC76" s="43">
        <f t="shared" si="29"/>
        <v>0</v>
      </c>
    </row>
    <row r="77" spans="1:29" ht="18.75" x14ac:dyDescent="0.3">
      <c r="A77" s="9">
        <v>9</v>
      </c>
      <c r="B77" s="33" t="s">
        <v>48</v>
      </c>
      <c r="C77" s="33" t="s">
        <v>42</v>
      </c>
      <c r="D77" s="33">
        <v>1</v>
      </c>
      <c r="E77" s="33">
        <v>8</v>
      </c>
      <c r="F77" s="33">
        <v>5</v>
      </c>
      <c r="G77" s="33">
        <v>301</v>
      </c>
      <c r="H77" s="33">
        <v>4</v>
      </c>
      <c r="I77" s="33">
        <v>1</v>
      </c>
      <c r="J77" s="33">
        <v>2</v>
      </c>
      <c r="K77" s="33">
        <v>7</v>
      </c>
      <c r="L77" s="33">
        <v>0</v>
      </c>
      <c r="M77" s="33">
        <v>3981</v>
      </c>
      <c r="N77" s="33">
        <v>1</v>
      </c>
      <c r="O77" s="33">
        <v>1</v>
      </c>
      <c r="P77" s="9">
        <v>0</v>
      </c>
      <c r="Q77" s="10"/>
      <c r="R77" s="11">
        <v>750000</v>
      </c>
      <c r="S77" s="11">
        <v>750000</v>
      </c>
      <c r="T77" s="11">
        <v>562500</v>
      </c>
      <c r="U77" s="11">
        <v>25372.85</v>
      </c>
      <c r="V77" s="11">
        <v>232663.68000000002</v>
      </c>
      <c r="W77" s="11">
        <v>0</v>
      </c>
      <c r="X77" s="31">
        <v>0</v>
      </c>
      <c r="Y77" s="41">
        <f>+S77-V77-X77-W77</f>
        <v>517336.31999999995</v>
      </c>
      <c r="Z77" s="42">
        <v>0</v>
      </c>
      <c r="AA77" s="42"/>
      <c r="AB77" s="43">
        <f t="shared" si="28"/>
        <v>0</v>
      </c>
      <c r="AC77" s="43">
        <f t="shared" si="29"/>
        <v>25372.85</v>
      </c>
    </row>
    <row r="78" spans="1:29" ht="18.75" x14ac:dyDescent="0.3">
      <c r="A78" s="9">
        <v>9</v>
      </c>
      <c r="B78" s="33" t="s">
        <v>48</v>
      </c>
      <c r="C78" s="33" t="s">
        <v>42</v>
      </c>
      <c r="D78" s="33">
        <v>1</v>
      </c>
      <c r="E78" s="33">
        <v>8</v>
      </c>
      <c r="F78" s="33">
        <v>5</v>
      </c>
      <c r="G78" s="33">
        <v>301</v>
      </c>
      <c r="H78" s="33">
        <v>4</v>
      </c>
      <c r="I78" s="33">
        <v>1</v>
      </c>
      <c r="J78" s="33">
        <v>2</v>
      </c>
      <c r="K78" s="33">
        <v>7</v>
      </c>
      <c r="L78" s="33">
        <v>0</v>
      </c>
      <c r="M78" s="33">
        <v>3982</v>
      </c>
      <c r="N78" s="33">
        <v>1</v>
      </c>
      <c r="O78" s="33">
        <v>1</v>
      </c>
      <c r="P78" s="9">
        <v>0</v>
      </c>
      <c r="Q78" s="10"/>
      <c r="R78" s="11">
        <v>600000</v>
      </c>
      <c r="S78" s="11">
        <v>600000</v>
      </c>
      <c r="T78" s="11">
        <v>25000</v>
      </c>
      <c r="U78" s="11">
        <v>0</v>
      </c>
      <c r="V78" s="11">
        <v>0</v>
      </c>
      <c r="W78" s="11">
        <v>0</v>
      </c>
      <c r="X78" s="31">
        <v>0</v>
      </c>
      <c r="Y78" s="41">
        <f t="shared" si="27"/>
        <v>600000</v>
      </c>
      <c r="Z78" s="42">
        <v>0</v>
      </c>
      <c r="AA78" s="42"/>
      <c r="AB78" s="43">
        <f t="shared" si="28"/>
        <v>0</v>
      </c>
      <c r="AC78" s="43">
        <f t="shared" si="29"/>
        <v>0</v>
      </c>
    </row>
    <row r="79" spans="1:29" ht="19.5" thickBot="1" x14ac:dyDescent="0.35">
      <c r="A79" s="9"/>
      <c r="B79" s="9"/>
      <c r="C79" s="9"/>
      <c r="D79" s="9"/>
      <c r="E79" s="9"/>
      <c r="F79" s="9"/>
      <c r="G79" s="9"/>
      <c r="H79" s="9"/>
      <c r="I79" s="9"/>
      <c r="J79" s="9"/>
      <c r="K79" s="9"/>
      <c r="L79" s="9"/>
      <c r="M79" s="9"/>
      <c r="N79" s="175" t="s">
        <v>15</v>
      </c>
      <c r="O79" s="175"/>
      <c r="P79" s="175"/>
      <c r="Q79" s="175" t="s">
        <v>11</v>
      </c>
      <c r="R79" s="26">
        <f t="shared" ref="R79:AC79" si="30">SUM(R58:R78)</f>
        <v>5177360</v>
      </c>
      <c r="S79" s="26">
        <f t="shared" si="30"/>
        <v>5177360</v>
      </c>
      <c r="T79" s="26">
        <f t="shared" si="30"/>
        <v>3571737</v>
      </c>
      <c r="U79" s="26">
        <f t="shared" si="30"/>
        <v>251944.63000000003</v>
      </c>
      <c r="V79" s="26">
        <f t="shared" si="30"/>
        <v>2435604.27</v>
      </c>
      <c r="W79" s="26">
        <f t="shared" si="30"/>
        <v>0</v>
      </c>
      <c r="X79" s="38">
        <f>SUM(X58:X78)</f>
        <v>1067386.2999999998</v>
      </c>
      <c r="Y79" s="44">
        <f t="shared" si="30"/>
        <v>1674369.43</v>
      </c>
      <c r="Z79" s="44">
        <f t="shared" si="30"/>
        <v>1281239.3800000001</v>
      </c>
      <c r="AA79" s="44">
        <f t="shared" si="30"/>
        <v>0</v>
      </c>
      <c r="AB79" s="44">
        <f t="shared" si="30"/>
        <v>213853.08</v>
      </c>
      <c r="AC79" s="44">
        <f t="shared" si="30"/>
        <v>38091.550000000003</v>
      </c>
    </row>
    <row r="80" spans="1:29" ht="20.25" thickTop="1" thickBot="1" x14ac:dyDescent="0.35">
      <c r="A80" s="176" t="s">
        <v>37</v>
      </c>
      <c r="B80" s="176"/>
      <c r="C80" s="176"/>
      <c r="D80" s="176"/>
      <c r="E80" s="176"/>
      <c r="F80" s="176"/>
      <c r="G80" s="176"/>
      <c r="H80" s="176"/>
      <c r="I80" s="176"/>
      <c r="J80" s="176"/>
      <c r="K80" s="176"/>
      <c r="L80" s="176"/>
      <c r="M80" s="176"/>
      <c r="N80" s="176"/>
      <c r="O80" s="176"/>
      <c r="P80" s="176"/>
      <c r="Q80" s="176"/>
      <c r="R80" s="15">
        <f>+R38+R57+R79</f>
        <v>22625558</v>
      </c>
      <c r="S80" s="15">
        <f t="shared" ref="S80:AC80" si="31">+S38+S57+S79</f>
        <v>22625558</v>
      </c>
      <c r="T80" s="15">
        <f t="shared" si="31"/>
        <v>15455527</v>
      </c>
      <c r="U80" s="15">
        <f t="shared" si="31"/>
        <v>1493719.6300000001</v>
      </c>
      <c r="V80" s="15">
        <f t="shared" si="31"/>
        <v>12816411.859999998</v>
      </c>
      <c r="W80" s="15">
        <f t="shared" si="31"/>
        <v>0</v>
      </c>
      <c r="X80" s="15">
        <f>+X38+X57+X79</f>
        <v>7304435.4699999997</v>
      </c>
      <c r="Y80" s="15">
        <f t="shared" si="31"/>
        <v>2504710.67</v>
      </c>
      <c r="Z80" s="15">
        <f t="shared" si="31"/>
        <v>8730195.9700000007</v>
      </c>
      <c r="AA80" s="15">
        <f t="shared" si="31"/>
        <v>0</v>
      </c>
      <c r="AB80" s="15">
        <f t="shared" si="31"/>
        <v>1425760.5000000002</v>
      </c>
      <c r="AC80" s="15">
        <f t="shared" si="31"/>
        <v>67959.129999999859</v>
      </c>
    </row>
    <row r="81" spans="1:32" ht="19.5" thickTop="1" x14ac:dyDescent="0.3">
      <c r="A81" s="9">
        <v>9</v>
      </c>
      <c r="B81" s="33" t="s">
        <v>48</v>
      </c>
      <c r="C81" s="33" t="s">
        <v>42</v>
      </c>
      <c r="D81" s="33">
        <v>2</v>
      </c>
      <c r="E81" s="33">
        <v>2</v>
      </c>
      <c r="F81" s="33">
        <v>7</v>
      </c>
      <c r="G81" s="33">
        <v>326</v>
      </c>
      <c r="H81" s="33" t="s">
        <v>57</v>
      </c>
      <c r="I81" s="33">
        <v>1</v>
      </c>
      <c r="J81" s="33">
        <v>2</v>
      </c>
      <c r="K81" s="33">
        <v>7</v>
      </c>
      <c r="L81" s="33">
        <v>0</v>
      </c>
      <c r="M81" s="33">
        <v>1131</v>
      </c>
      <c r="N81" s="33">
        <v>1</v>
      </c>
      <c r="O81" s="33">
        <v>1</v>
      </c>
      <c r="P81" s="9">
        <v>0</v>
      </c>
      <c r="Q81" s="10"/>
      <c r="R81" s="11">
        <v>5735252</v>
      </c>
      <c r="S81" s="11">
        <v>5735252</v>
      </c>
      <c r="T81" s="11">
        <v>4353122</v>
      </c>
      <c r="U81" s="11">
        <v>302905.64000000007</v>
      </c>
      <c r="V81" s="11">
        <v>3099868.47</v>
      </c>
      <c r="W81" s="11">
        <v>0</v>
      </c>
      <c r="X81" s="31">
        <v>2635383.5299999998</v>
      </c>
      <c r="Y81" s="41">
        <f t="shared" ref="Y81:Y102" si="32">+S81-V81-X81-W81</f>
        <v>0</v>
      </c>
      <c r="Z81" s="42">
        <v>2938289.17</v>
      </c>
      <c r="AA81" s="42"/>
      <c r="AB81" s="43">
        <f t="shared" ref="AB81:AB102" si="33">+Z81-X81+AA81-W81</f>
        <v>302905.64000000013</v>
      </c>
      <c r="AC81" s="43">
        <f t="shared" ref="AC81:AC102" si="34">+U81-AB81</f>
        <v>0</v>
      </c>
    </row>
    <row r="82" spans="1:32" ht="18.75" x14ac:dyDescent="0.3">
      <c r="A82" s="9">
        <v>9</v>
      </c>
      <c r="B82" s="33" t="s">
        <v>48</v>
      </c>
      <c r="C82" s="33" t="s">
        <v>42</v>
      </c>
      <c r="D82" s="33">
        <v>2</v>
      </c>
      <c r="E82" s="33">
        <v>2</v>
      </c>
      <c r="F82" s="33">
        <v>7</v>
      </c>
      <c r="G82" s="33">
        <v>326</v>
      </c>
      <c r="H82" s="33">
        <v>1</v>
      </c>
      <c r="I82" s="33">
        <v>1</v>
      </c>
      <c r="J82" s="33">
        <v>1</v>
      </c>
      <c r="K82" s="33">
        <v>7</v>
      </c>
      <c r="L82" s="33">
        <v>0</v>
      </c>
      <c r="M82" s="33">
        <v>1131</v>
      </c>
      <c r="N82" s="33">
        <v>1</v>
      </c>
      <c r="O82" s="33">
        <v>1</v>
      </c>
      <c r="P82" s="9">
        <v>0</v>
      </c>
      <c r="Q82" s="10"/>
      <c r="R82" s="11">
        <v>7750000</v>
      </c>
      <c r="S82" s="11">
        <v>7750000</v>
      </c>
      <c r="T82" s="11">
        <v>5636360</v>
      </c>
      <c r="U82" s="11">
        <v>704545</v>
      </c>
      <c r="V82" s="11">
        <v>5636360</v>
      </c>
      <c r="W82" s="11">
        <v>0</v>
      </c>
      <c r="X82" s="31">
        <v>2113640</v>
      </c>
      <c r="Y82" s="41">
        <f t="shared" si="32"/>
        <v>0</v>
      </c>
      <c r="Z82" s="42">
        <v>2818185</v>
      </c>
      <c r="AA82" s="42"/>
      <c r="AB82" s="43">
        <f t="shared" si="33"/>
        <v>704545</v>
      </c>
      <c r="AC82" s="43">
        <f t="shared" si="34"/>
        <v>0</v>
      </c>
    </row>
    <row r="83" spans="1:32" ht="18.75" x14ac:dyDescent="0.3">
      <c r="A83" s="9">
        <v>9</v>
      </c>
      <c r="B83" s="33" t="s">
        <v>48</v>
      </c>
      <c r="C83" s="33" t="s">
        <v>42</v>
      </c>
      <c r="D83" s="33">
        <v>2</v>
      </c>
      <c r="E83" s="33">
        <v>2</v>
      </c>
      <c r="F83" s="33">
        <v>7</v>
      </c>
      <c r="G83" s="33">
        <v>326</v>
      </c>
      <c r="H83" s="33" t="s">
        <v>57</v>
      </c>
      <c r="I83" s="33">
        <v>1</v>
      </c>
      <c r="J83" s="33">
        <v>2</v>
      </c>
      <c r="K83" s="33">
        <v>7</v>
      </c>
      <c r="L83" s="33">
        <v>0</v>
      </c>
      <c r="M83" s="33">
        <v>1221</v>
      </c>
      <c r="N83" s="33">
        <v>1</v>
      </c>
      <c r="O83" s="33">
        <v>1</v>
      </c>
      <c r="P83" s="9">
        <v>4</v>
      </c>
      <c r="Q83" s="10"/>
      <c r="R83" s="11">
        <v>3246480</v>
      </c>
      <c r="S83" s="11">
        <v>3246480</v>
      </c>
      <c r="T83" s="11">
        <v>2434860</v>
      </c>
      <c r="U83" s="11">
        <v>208201.77000000002</v>
      </c>
      <c r="V83" s="11">
        <v>1807424.76</v>
      </c>
      <c r="W83" s="11">
        <v>0</v>
      </c>
      <c r="X83" s="31">
        <v>627435.24000000022</v>
      </c>
      <c r="Y83" s="41">
        <f t="shared" si="32"/>
        <v>811619.99999999977</v>
      </c>
      <c r="Z83" s="42">
        <v>835637.01000000024</v>
      </c>
      <c r="AA83" s="42"/>
      <c r="AB83" s="43">
        <f t="shared" si="33"/>
        <v>208201.77000000002</v>
      </c>
      <c r="AC83" s="43">
        <f t="shared" si="34"/>
        <v>0</v>
      </c>
      <c r="AE83" s="27">
        <f>240000*5+V83</f>
        <v>3007424.76</v>
      </c>
      <c r="AF83" s="27">
        <f>+S83-AE83</f>
        <v>239055.24000000022</v>
      </c>
    </row>
    <row r="84" spans="1:32" ht="18.75" x14ac:dyDescent="0.3">
      <c r="A84" s="9">
        <v>9</v>
      </c>
      <c r="B84" s="33" t="s">
        <v>48</v>
      </c>
      <c r="C84" s="33" t="s">
        <v>42</v>
      </c>
      <c r="D84" s="33">
        <v>2</v>
      </c>
      <c r="E84" s="33">
        <v>2</v>
      </c>
      <c r="F84" s="33">
        <v>7</v>
      </c>
      <c r="G84" s="33">
        <v>326</v>
      </c>
      <c r="H84" s="33" t="s">
        <v>57</v>
      </c>
      <c r="I84" s="33">
        <v>1</v>
      </c>
      <c r="J84" s="33">
        <v>2</v>
      </c>
      <c r="K84" s="33">
        <v>7</v>
      </c>
      <c r="L84" s="33">
        <v>0</v>
      </c>
      <c r="M84" s="33">
        <v>1321</v>
      </c>
      <c r="N84" s="33">
        <v>1</v>
      </c>
      <c r="O84" s="33">
        <v>1</v>
      </c>
      <c r="P84" s="9">
        <v>0</v>
      </c>
      <c r="Q84" s="10"/>
      <c r="R84" s="11">
        <v>572060</v>
      </c>
      <c r="S84" s="11">
        <v>572060</v>
      </c>
      <c r="T84" s="11">
        <v>556260</v>
      </c>
      <c r="U84" s="11">
        <v>70.67</v>
      </c>
      <c r="V84" s="11">
        <v>415367.25</v>
      </c>
      <c r="W84" s="11">
        <v>0</v>
      </c>
      <c r="X84" s="31">
        <v>156692.75</v>
      </c>
      <c r="Y84" s="41">
        <f t="shared" si="32"/>
        <v>0</v>
      </c>
      <c r="Z84" s="42">
        <v>156763.41999999998</v>
      </c>
      <c r="AA84" s="42"/>
      <c r="AB84" s="43">
        <f t="shared" si="33"/>
        <v>70.669999999983702</v>
      </c>
      <c r="AC84" s="43">
        <f t="shared" si="34"/>
        <v>1.6299850358336698E-11</v>
      </c>
    </row>
    <row r="85" spans="1:32" ht="18.75" x14ac:dyDescent="0.3">
      <c r="A85" s="9">
        <v>9</v>
      </c>
      <c r="B85" s="33" t="s">
        <v>48</v>
      </c>
      <c r="C85" s="33" t="s">
        <v>42</v>
      </c>
      <c r="D85" s="33">
        <v>2</v>
      </c>
      <c r="E85" s="33">
        <v>2</v>
      </c>
      <c r="F85" s="33">
        <v>7</v>
      </c>
      <c r="G85" s="33">
        <v>326</v>
      </c>
      <c r="H85" s="33" t="s">
        <v>57</v>
      </c>
      <c r="I85" s="33">
        <v>1</v>
      </c>
      <c r="J85" s="33">
        <v>2</v>
      </c>
      <c r="K85" s="33">
        <v>7</v>
      </c>
      <c r="L85" s="33">
        <v>0</v>
      </c>
      <c r="M85" s="33">
        <v>1322</v>
      </c>
      <c r="N85" s="33">
        <v>1</v>
      </c>
      <c r="O85" s="33">
        <v>1</v>
      </c>
      <c r="P85" s="9">
        <v>0</v>
      </c>
      <c r="Q85" s="10"/>
      <c r="R85" s="11">
        <v>6000</v>
      </c>
      <c r="S85" s="11">
        <v>6000</v>
      </c>
      <c r="T85" s="11">
        <v>4500</v>
      </c>
      <c r="U85" s="11">
        <v>0</v>
      </c>
      <c r="V85" s="11">
        <v>0</v>
      </c>
      <c r="W85" s="11">
        <v>0</v>
      </c>
      <c r="X85" s="31">
        <v>0</v>
      </c>
      <c r="Y85" s="41">
        <f t="shared" si="32"/>
        <v>6000</v>
      </c>
      <c r="Z85" s="42">
        <v>0</v>
      </c>
      <c r="AA85" s="42"/>
      <c r="AB85" s="43">
        <f t="shared" si="33"/>
        <v>0</v>
      </c>
      <c r="AC85" s="43">
        <f t="shared" si="34"/>
        <v>0</v>
      </c>
    </row>
    <row r="86" spans="1:32" ht="18.75" x14ac:dyDescent="0.3">
      <c r="A86" s="9">
        <v>9</v>
      </c>
      <c r="B86" s="33" t="s">
        <v>48</v>
      </c>
      <c r="C86" s="33" t="s">
        <v>42</v>
      </c>
      <c r="D86" s="33">
        <v>2</v>
      </c>
      <c r="E86" s="33">
        <v>2</v>
      </c>
      <c r="F86" s="33">
        <v>7</v>
      </c>
      <c r="G86" s="33">
        <v>326</v>
      </c>
      <c r="H86" s="33" t="s">
        <v>57</v>
      </c>
      <c r="I86" s="33">
        <v>1</v>
      </c>
      <c r="J86" s="33">
        <v>2</v>
      </c>
      <c r="K86" s="33">
        <v>7</v>
      </c>
      <c r="L86" s="33">
        <v>0</v>
      </c>
      <c r="M86" s="33">
        <v>1323</v>
      </c>
      <c r="N86" s="33">
        <v>1</v>
      </c>
      <c r="O86" s="33">
        <v>1</v>
      </c>
      <c r="P86" s="9">
        <v>0</v>
      </c>
      <c r="Q86" s="10"/>
      <c r="R86" s="11">
        <v>291601</v>
      </c>
      <c r="S86" s="11">
        <v>291601</v>
      </c>
      <c r="T86" s="11">
        <v>130000</v>
      </c>
      <c r="U86" s="11">
        <v>0</v>
      </c>
      <c r="V86" s="11">
        <v>0</v>
      </c>
      <c r="W86" s="11">
        <v>0</v>
      </c>
      <c r="X86" s="31">
        <v>291601</v>
      </c>
      <c r="Y86" s="41">
        <f t="shared" si="32"/>
        <v>0</v>
      </c>
      <c r="Z86" s="42">
        <v>291601</v>
      </c>
      <c r="AA86" s="42"/>
      <c r="AB86" s="43">
        <f t="shared" si="33"/>
        <v>0</v>
      </c>
      <c r="AC86" s="43">
        <f t="shared" si="34"/>
        <v>0</v>
      </c>
    </row>
    <row r="87" spans="1:32" ht="18.75" x14ac:dyDescent="0.3">
      <c r="A87" s="9">
        <v>9</v>
      </c>
      <c r="B87" s="33" t="s">
        <v>48</v>
      </c>
      <c r="C87" s="33" t="s">
        <v>42</v>
      </c>
      <c r="D87" s="33">
        <v>2</v>
      </c>
      <c r="E87" s="33">
        <v>2</v>
      </c>
      <c r="F87" s="33">
        <v>7</v>
      </c>
      <c r="G87" s="33">
        <v>326</v>
      </c>
      <c r="H87" s="33" t="s">
        <v>57</v>
      </c>
      <c r="I87" s="33">
        <v>1</v>
      </c>
      <c r="J87" s="33">
        <v>2</v>
      </c>
      <c r="K87" s="33">
        <v>7</v>
      </c>
      <c r="L87" s="33">
        <v>0</v>
      </c>
      <c r="M87" s="33">
        <v>1323</v>
      </c>
      <c r="N87" s="33">
        <v>1</v>
      </c>
      <c r="O87" s="33">
        <v>1</v>
      </c>
      <c r="P87" s="9">
        <v>4</v>
      </c>
      <c r="Q87" s="10"/>
      <c r="R87" s="11">
        <v>811620</v>
      </c>
      <c r="S87" s="11">
        <v>811620</v>
      </c>
      <c r="T87" s="11">
        <v>107000</v>
      </c>
      <c r="U87" s="11">
        <v>694.94</v>
      </c>
      <c r="V87" s="11">
        <v>51585.780000000006</v>
      </c>
      <c r="W87" s="11">
        <v>0</v>
      </c>
      <c r="X87" s="31">
        <v>55414.219999999994</v>
      </c>
      <c r="Y87" s="41">
        <f t="shared" si="32"/>
        <v>704620</v>
      </c>
      <c r="Z87" s="42">
        <v>56109.159999999996</v>
      </c>
      <c r="AA87" s="42"/>
      <c r="AB87" s="43">
        <f t="shared" si="33"/>
        <v>694.94000000000233</v>
      </c>
      <c r="AC87" s="43">
        <f t="shared" si="34"/>
        <v>-2.2737367544323206E-12</v>
      </c>
    </row>
    <row r="88" spans="1:32" ht="18.75" x14ac:dyDescent="0.3">
      <c r="A88" s="9">
        <v>9</v>
      </c>
      <c r="B88" s="33" t="s">
        <v>48</v>
      </c>
      <c r="C88" s="33" t="s">
        <v>42</v>
      </c>
      <c r="D88" s="33">
        <v>2</v>
      </c>
      <c r="E88" s="33">
        <v>2</v>
      </c>
      <c r="F88" s="33">
        <v>7</v>
      </c>
      <c r="G88" s="33">
        <v>326</v>
      </c>
      <c r="H88" s="33">
        <v>1</v>
      </c>
      <c r="I88" s="33">
        <v>1</v>
      </c>
      <c r="J88" s="33">
        <v>1</v>
      </c>
      <c r="K88" s="33">
        <v>7</v>
      </c>
      <c r="L88" s="33">
        <v>0</v>
      </c>
      <c r="M88" s="33">
        <v>1323</v>
      </c>
      <c r="N88" s="33">
        <v>1</v>
      </c>
      <c r="O88" s="33">
        <v>1</v>
      </c>
      <c r="P88" s="9">
        <v>0</v>
      </c>
      <c r="Q88" s="10"/>
      <c r="R88" s="11">
        <v>2000000</v>
      </c>
      <c r="S88" s="11">
        <v>2000000</v>
      </c>
      <c r="T88" s="11">
        <v>0</v>
      </c>
      <c r="U88" s="11">
        <v>0</v>
      </c>
      <c r="V88" s="11">
        <v>0</v>
      </c>
      <c r="W88" s="11">
        <v>0</v>
      </c>
      <c r="X88" s="31">
        <v>2000000</v>
      </c>
      <c r="Y88" s="41">
        <f t="shared" si="32"/>
        <v>0</v>
      </c>
      <c r="Z88" s="42">
        <v>2000000</v>
      </c>
      <c r="AA88" s="42"/>
      <c r="AB88" s="43">
        <f t="shared" si="33"/>
        <v>0</v>
      </c>
      <c r="AC88" s="43">
        <f t="shared" si="34"/>
        <v>0</v>
      </c>
    </row>
    <row r="89" spans="1:32" ht="18.75" x14ac:dyDescent="0.3">
      <c r="A89" s="9">
        <v>9</v>
      </c>
      <c r="B89" s="33" t="s">
        <v>48</v>
      </c>
      <c r="C89" s="33" t="s">
        <v>42</v>
      </c>
      <c r="D89" s="33">
        <v>2</v>
      </c>
      <c r="E89" s="33">
        <v>2</v>
      </c>
      <c r="F89" s="33">
        <v>7</v>
      </c>
      <c r="G89" s="33">
        <v>326</v>
      </c>
      <c r="H89" s="33" t="s">
        <v>57</v>
      </c>
      <c r="I89" s="33">
        <v>1</v>
      </c>
      <c r="J89" s="33">
        <v>2</v>
      </c>
      <c r="K89" s="33">
        <v>7</v>
      </c>
      <c r="L89" s="33">
        <v>0</v>
      </c>
      <c r="M89" s="33">
        <v>1331</v>
      </c>
      <c r="N89" s="33">
        <v>1</v>
      </c>
      <c r="O89" s="33">
        <v>1</v>
      </c>
      <c r="P89" s="9">
        <v>0</v>
      </c>
      <c r="Q89" s="10"/>
      <c r="R89" s="11">
        <v>5000</v>
      </c>
      <c r="S89" s="11">
        <v>5000</v>
      </c>
      <c r="T89" s="11">
        <v>5000</v>
      </c>
      <c r="U89" s="11">
        <v>0</v>
      </c>
      <c r="V89" s="11">
        <v>0</v>
      </c>
      <c r="W89" s="11">
        <v>0</v>
      </c>
      <c r="X89" s="31">
        <v>0</v>
      </c>
      <c r="Y89" s="41">
        <f t="shared" si="32"/>
        <v>5000</v>
      </c>
      <c r="Z89" s="42">
        <v>0</v>
      </c>
      <c r="AA89" s="42"/>
      <c r="AB89" s="43">
        <f t="shared" si="33"/>
        <v>0</v>
      </c>
      <c r="AC89" s="43">
        <f t="shared" si="34"/>
        <v>0</v>
      </c>
    </row>
    <row r="90" spans="1:32" ht="18.75" x14ac:dyDescent="0.3">
      <c r="A90" s="9">
        <v>9</v>
      </c>
      <c r="B90" s="33" t="s">
        <v>48</v>
      </c>
      <c r="C90" s="33" t="s">
        <v>42</v>
      </c>
      <c r="D90" s="33">
        <v>2</v>
      </c>
      <c r="E90" s="33">
        <v>2</v>
      </c>
      <c r="F90" s="33">
        <v>7</v>
      </c>
      <c r="G90" s="33">
        <v>326</v>
      </c>
      <c r="H90" s="33" t="s">
        <v>57</v>
      </c>
      <c r="I90" s="33">
        <v>1</v>
      </c>
      <c r="J90" s="33">
        <v>2</v>
      </c>
      <c r="K90" s="33">
        <v>7</v>
      </c>
      <c r="L90" s="33">
        <v>0</v>
      </c>
      <c r="M90" s="33">
        <v>1412</v>
      </c>
      <c r="N90" s="33">
        <v>1</v>
      </c>
      <c r="O90" s="33">
        <v>1</v>
      </c>
      <c r="P90" s="9">
        <v>0</v>
      </c>
      <c r="Q90" s="10"/>
      <c r="R90" s="11">
        <v>1831554</v>
      </c>
      <c r="S90" s="11">
        <v>1831554</v>
      </c>
      <c r="T90" s="11">
        <v>1402219</v>
      </c>
      <c r="U90" s="11">
        <v>133872.20000000001</v>
      </c>
      <c r="V90" s="11">
        <v>1155677.4000000001</v>
      </c>
      <c r="W90" s="11">
        <v>0</v>
      </c>
      <c r="X90" s="31">
        <v>675876.59999999986</v>
      </c>
      <c r="Y90" s="41">
        <f t="shared" si="32"/>
        <v>0</v>
      </c>
      <c r="Z90" s="42">
        <v>809748.79999999993</v>
      </c>
      <c r="AA90" s="42"/>
      <c r="AB90" s="43">
        <f t="shared" si="33"/>
        <v>133872.20000000007</v>
      </c>
      <c r="AC90" s="43">
        <f t="shared" si="34"/>
        <v>0</v>
      </c>
    </row>
    <row r="91" spans="1:32" ht="18.75" x14ac:dyDescent="0.3">
      <c r="A91" s="9">
        <v>9</v>
      </c>
      <c r="B91" s="33" t="s">
        <v>48</v>
      </c>
      <c r="C91" s="33" t="s">
        <v>42</v>
      </c>
      <c r="D91" s="33">
        <v>2</v>
      </c>
      <c r="E91" s="33">
        <v>2</v>
      </c>
      <c r="F91" s="33">
        <v>7</v>
      </c>
      <c r="G91" s="33">
        <v>326</v>
      </c>
      <c r="H91" s="33" t="s">
        <v>57</v>
      </c>
      <c r="I91" s="33">
        <v>1</v>
      </c>
      <c r="J91" s="33">
        <v>2</v>
      </c>
      <c r="K91" s="33">
        <v>7</v>
      </c>
      <c r="L91" s="33">
        <v>0</v>
      </c>
      <c r="M91" s="33">
        <v>1412</v>
      </c>
      <c r="N91" s="33">
        <v>1</v>
      </c>
      <c r="O91" s="33">
        <v>1</v>
      </c>
      <c r="P91" s="9">
        <v>4</v>
      </c>
      <c r="Q91" s="10"/>
      <c r="R91" s="11">
        <v>549360</v>
      </c>
      <c r="S91" s="11">
        <v>549360</v>
      </c>
      <c r="T91" s="11">
        <v>412020</v>
      </c>
      <c r="U91" s="11">
        <v>38133.93</v>
      </c>
      <c r="V91" s="11">
        <v>288635.35000000003</v>
      </c>
      <c r="W91" s="11">
        <v>0</v>
      </c>
      <c r="X91" s="31">
        <v>123384.64999999997</v>
      </c>
      <c r="Y91" s="41">
        <f t="shared" si="32"/>
        <v>137340</v>
      </c>
      <c r="Z91" s="42">
        <v>161518.57999999999</v>
      </c>
      <c r="AA91" s="42"/>
      <c r="AB91" s="43">
        <f t="shared" si="33"/>
        <v>38133.930000000022</v>
      </c>
      <c r="AC91" s="43">
        <f t="shared" si="34"/>
        <v>0</v>
      </c>
    </row>
    <row r="92" spans="1:32" ht="18.75" x14ac:dyDescent="0.3">
      <c r="A92" s="9">
        <v>9</v>
      </c>
      <c r="B92" s="33" t="s">
        <v>48</v>
      </c>
      <c r="C92" s="33" t="s">
        <v>42</v>
      </c>
      <c r="D92" s="33">
        <v>2</v>
      </c>
      <c r="E92" s="33">
        <v>2</v>
      </c>
      <c r="F92" s="33">
        <v>7</v>
      </c>
      <c r="G92" s="33">
        <v>326</v>
      </c>
      <c r="H92" s="33" t="s">
        <v>57</v>
      </c>
      <c r="I92" s="33">
        <v>1</v>
      </c>
      <c r="J92" s="33">
        <v>2</v>
      </c>
      <c r="K92" s="33">
        <v>7</v>
      </c>
      <c r="L92" s="33">
        <v>0</v>
      </c>
      <c r="M92" s="33">
        <v>1422</v>
      </c>
      <c r="N92" s="33">
        <v>1</v>
      </c>
      <c r="O92" s="33">
        <v>1</v>
      </c>
      <c r="P92" s="9">
        <v>0</v>
      </c>
      <c r="Q92" s="10"/>
      <c r="R92" s="11">
        <v>1141851</v>
      </c>
      <c r="S92" s="11">
        <v>1141851</v>
      </c>
      <c r="T92" s="11">
        <v>910286</v>
      </c>
      <c r="U92" s="11">
        <v>166503.65000000002</v>
      </c>
      <c r="V92" s="11">
        <v>721036.98</v>
      </c>
      <c r="W92" s="11">
        <v>0</v>
      </c>
      <c r="X92" s="31">
        <v>420814.02</v>
      </c>
      <c r="Y92" s="41">
        <f t="shared" si="32"/>
        <v>0</v>
      </c>
      <c r="Z92" s="42">
        <v>587317.67000000004</v>
      </c>
      <c r="AA92" s="42"/>
      <c r="AB92" s="43">
        <f t="shared" si="33"/>
        <v>166503.65000000002</v>
      </c>
      <c r="AC92" s="43">
        <f t="shared" si="34"/>
        <v>0</v>
      </c>
    </row>
    <row r="93" spans="1:32" ht="18.75" x14ac:dyDescent="0.3">
      <c r="A93" s="9">
        <v>9</v>
      </c>
      <c r="B93" s="33" t="s">
        <v>48</v>
      </c>
      <c r="C93" s="33" t="s">
        <v>42</v>
      </c>
      <c r="D93" s="33">
        <v>2</v>
      </c>
      <c r="E93" s="33">
        <v>2</v>
      </c>
      <c r="F93" s="33">
        <v>7</v>
      </c>
      <c r="G93" s="33">
        <v>326</v>
      </c>
      <c r="H93" s="33" t="s">
        <v>57</v>
      </c>
      <c r="I93" s="33">
        <v>1</v>
      </c>
      <c r="J93" s="33">
        <v>2</v>
      </c>
      <c r="K93" s="33">
        <v>7</v>
      </c>
      <c r="L93" s="33">
        <v>0</v>
      </c>
      <c r="M93" s="33">
        <v>1431</v>
      </c>
      <c r="N93" s="33">
        <v>1</v>
      </c>
      <c r="O93" s="33">
        <v>1</v>
      </c>
      <c r="P93" s="9">
        <v>0</v>
      </c>
      <c r="Q93" s="10"/>
      <c r="R93" s="11">
        <v>1433692</v>
      </c>
      <c r="S93" s="11">
        <v>1433692</v>
      </c>
      <c r="T93" s="11">
        <v>1130159</v>
      </c>
      <c r="U93" s="11">
        <v>206525.02000000002</v>
      </c>
      <c r="V93" s="11">
        <v>895459.29</v>
      </c>
      <c r="W93" s="11">
        <v>0</v>
      </c>
      <c r="X93" s="31">
        <v>538232.71</v>
      </c>
      <c r="Y93" s="41">
        <f t="shared" si="32"/>
        <v>0</v>
      </c>
      <c r="Z93" s="42">
        <v>744757.73</v>
      </c>
      <c r="AA93" s="42"/>
      <c r="AB93" s="43">
        <f t="shared" si="33"/>
        <v>206525.02000000002</v>
      </c>
      <c r="AC93" s="43">
        <f t="shared" si="34"/>
        <v>0</v>
      </c>
    </row>
    <row r="94" spans="1:32" ht="18.75" x14ac:dyDescent="0.3">
      <c r="A94" s="9">
        <v>9</v>
      </c>
      <c r="B94" s="33" t="s">
        <v>48</v>
      </c>
      <c r="C94" s="33" t="s">
        <v>42</v>
      </c>
      <c r="D94" s="33">
        <v>2</v>
      </c>
      <c r="E94" s="33">
        <v>2</v>
      </c>
      <c r="F94" s="33">
        <v>7</v>
      </c>
      <c r="G94" s="33">
        <v>326</v>
      </c>
      <c r="H94" s="33" t="s">
        <v>57</v>
      </c>
      <c r="I94" s="33">
        <v>1</v>
      </c>
      <c r="J94" s="33">
        <v>2</v>
      </c>
      <c r="K94" s="33">
        <v>7</v>
      </c>
      <c r="L94" s="33">
        <v>0</v>
      </c>
      <c r="M94" s="33">
        <v>1441</v>
      </c>
      <c r="N94" s="33">
        <v>1</v>
      </c>
      <c r="O94" s="33">
        <v>1</v>
      </c>
      <c r="P94" s="9">
        <v>0</v>
      </c>
      <c r="Q94" s="10"/>
      <c r="R94" s="11">
        <v>615002</v>
      </c>
      <c r="S94" s="11">
        <v>615002</v>
      </c>
      <c r="T94" s="11">
        <v>463063</v>
      </c>
      <c r="U94" s="11">
        <v>38232.319999999992</v>
      </c>
      <c r="V94" s="11">
        <v>242305.67000000004</v>
      </c>
      <c r="W94" s="11">
        <v>0</v>
      </c>
      <c r="X94" s="31">
        <v>0</v>
      </c>
      <c r="Y94" s="41">
        <f t="shared" si="32"/>
        <v>372696.32999999996</v>
      </c>
      <c r="Z94" s="42">
        <v>0</v>
      </c>
      <c r="AA94" s="42"/>
      <c r="AB94" s="43">
        <f t="shared" si="33"/>
        <v>0</v>
      </c>
      <c r="AC94" s="43">
        <f t="shared" si="34"/>
        <v>38232.319999999992</v>
      </c>
    </row>
    <row r="95" spans="1:32" ht="18.75" x14ac:dyDescent="0.3">
      <c r="A95" s="9">
        <v>9</v>
      </c>
      <c r="B95" s="33" t="s">
        <v>48</v>
      </c>
      <c r="C95" s="33" t="s">
        <v>42</v>
      </c>
      <c r="D95" s="33">
        <v>2</v>
      </c>
      <c r="E95" s="33">
        <v>2</v>
      </c>
      <c r="F95" s="33">
        <v>7</v>
      </c>
      <c r="G95" s="33">
        <v>326</v>
      </c>
      <c r="H95" s="33" t="s">
        <v>57</v>
      </c>
      <c r="I95" s="33">
        <v>1</v>
      </c>
      <c r="J95" s="33">
        <v>2</v>
      </c>
      <c r="K95" s="33">
        <v>7</v>
      </c>
      <c r="L95" s="33">
        <v>0</v>
      </c>
      <c r="M95" s="33">
        <v>1511</v>
      </c>
      <c r="N95" s="33">
        <v>1</v>
      </c>
      <c r="O95" s="33">
        <v>1</v>
      </c>
      <c r="P95" s="9">
        <v>0</v>
      </c>
      <c r="Q95" s="10"/>
      <c r="R95" s="11">
        <v>582244</v>
      </c>
      <c r="S95" s="11">
        <v>582244</v>
      </c>
      <c r="T95" s="11">
        <v>438473</v>
      </c>
      <c r="U95" s="11">
        <v>36144.35</v>
      </c>
      <c r="V95" s="11">
        <v>323149.76</v>
      </c>
      <c r="W95" s="11">
        <v>0</v>
      </c>
      <c r="X95" s="31">
        <v>259094.24000000005</v>
      </c>
      <c r="Y95" s="41">
        <f t="shared" si="32"/>
        <v>-5.8207660913467407E-11</v>
      </c>
      <c r="Z95" s="42">
        <v>295238.59000000003</v>
      </c>
      <c r="AA95" s="42"/>
      <c r="AB95" s="43">
        <f t="shared" si="33"/>
        <v>36144.349999999977</v>
      </c>
      <c r="AC95" s="43">
        <f t="shared" si="34"/>
        <v>0</v>
      </c>
    </row>
    <row r="96" spans="1:32" ht="18.75" x14ac:dyDescent="0.3">
      <c r="A96" s="9">
        <v>9</v>
      </c>
      <c r="B96" s="33" t="s">
        <v>48</v>
      </c>
      <c r="C96" s="33" t="s">
        <v>42</v>
      </c>
      <c r="D96" s="33">
        <v>2</v>
      </c>
      <c r="E96" s="33">
        <v>2</v>
      </c>
      <c r="F96" s="33">
        <v>7</v>
      </c>
      <c r="G96" s="33">
        <v>326</v>
      </c>
      <c r="H96" s="33" t="s">
        <v>57</v>
      </c>
      <c r="I96" s="33">
        <v>1</v>
      </c>
      <c r="J96" s="33">
        <v>2</v>
      </c>
      <c r="K96" s="33">
        <v>7</v>
      </c>
      <c r="L96" s="33">
        <v>0</v>
      </c>
      <c r="M96" s="33">
        <v>1541</v>
      </c>
      <c r="N96" s="33">
        <v>1</v>
      </c>
      <c r="O96" s="33">
        <v>1</v>
      </c>
      <c r="P96" s="9">
        <v>18</v>
      </c>
      <c r="Q96" s="10"/>
      <c r="R96" s="11">
        <v>667975</v>
      </c>
      <c r="S96" s="11">
        <v>667975</v>
      </c>
      <c r="T96" s="11">
        <v>0</v>
      </c>
      <c r="U96" s="11">
        <v>0</v>
      </c>
      <c r="V96" s="11">
        <v>0</v>
      </c>
      <c r="W96" s="11">
        <v>0</v>
      </c>
      <c r="X96" s="31">
        <v>0</v>
      </c>
      <c r="Y96" s="41">
        <f t="shared" si="32"/>
        <v>667975</v>
      </c>
      <c r="Z96" s="42">
        <v>0</v>
      </c>
      <c r="AA96" s="42"/>
      <c r="AB96" s="43">
        <f t="shared" si="33"/>
        <v>0</v>
      </c>
      <c r="AC96" s="43">
        <f t="shared" si="34"/>
        <v>0</v>
      </c>
    </row>
    <row r="97" spans="1:30" ht="18.75" x14ac:dyDescent="0.3">
      <c r="A97" s="9">
        <v>9</v>
      </c>
      <c r="B97" s="33" t="s">
        <v>48</v>
      </c>
      <c r="C97" s="33" t="s">
        <v>42</v>
      </c>
      <c r="D97" s="33">
        <v>2</v>
      </c>
      <c r="E97" s="33">
        <v>2</v>
      </c>
      <c r="F97" s="33">
        <v>7</v>
      </c>
      <c r="G97" s="33">
        <v>326</v>
      </c>
      <c r="H97" s="33" t="s">
        <v>57</v>
      </c>
      <c r="I97" s="33">
        <v>1</v>
      </c>
      <c r="J97" s="33">
        <v>2</v>
      </c>
      <c r="K97" s="33">
        <v>7</v>
      </c>
      <c r="L97" s="33">
        <v>0</v>
      </c>
      <c r="M97" s="33">
        <v>1541</v>
      </c>
      <c r="N97" s="33">
        <v>1</v>
      </c>
      <c r="O97" s="33">
        <v>1</v>
      </c>
      <c r="P97" s="9">
        <v>4</v>
      </c>
      <c r="Q97" s="10"/>
      <c r="R97" s="11">
        <v>590000</v>
      </c>
      <c r="S97" s="11">
        <v>590000</v>
      </c>
      <c r="T97" s="11">
        <v>3000</v>
      </c>
      <c r="U97" s="11">
        <v>0</v>
      </c>
      <c r="V97" s="11">
        <v>2920.21</v>
      </c>
      <c r="W97" s="11">
        <v>0</v>
      </c>
      <c r="X97" s="31">
        <v>0</v>
      </c>
      <c r="Y97" s="41">
        <f t="shared" si="32"/>
        <v>587079.79</v>
      </c>
      <c r="Z97" s="42">
        <v>0</v>
      </c>
      <c r="AA97" s="42"/>
      <c r="AB97" s="43">
        <f t="shared" si="33"/>
        <v>0</v>
      </c>
      <c r="AC97" s="43">
        <f t="shared" si="34"/>
        <v>0</v>
      </c>
    </row>
    <row r="98" spans="1:30" ht="18.75" x14ac:dyDescent="0.3">
      <c r="A98" s="9">
        <v>9</v>
      </c>
      <c r="B98" s="33" t="s">
        <v>48</v>
      </c>
      <c r="C98" s="33" t="s">
        <v>42</v>
      </c>
      <c r="D98" s="33">
        <v>2</v>
      </c>
      <c r="E98" s="33">
        <v>2</v>
      </c>
      <c r="F98" s="33">
        <v>7</v>
      </c>
      <c r="G98" s="33">
        <v>326</v>
      </c>
      <c r="H98" s="33" t="s">
        <v>57</v>
      </c>
      <c r="I98" s="33">
        <v>1</v>
      </c>
      <c r="J98" s="33">
        <v>2</v>
      </c>
      <c r="K98" s="33">
        <v>7</v>
      </c>
      <c r="L98" s="33">
        <v>0</v>
      </c>
      <c r="M98" s="33">
        <v>1542</v>
      </c>
      <c r="N98" s="33">
        <v>1</v>
      </c>
      <c r="O98" s="33">
        <v>1</v>
      </c>
      <c r="P98" s="9">
        <v>0</v>
      </c>
      <c r="Q98" s="10"/>
      <c r="R98" s="11">
        <v>5000</v>
      </c>
      <c r="S98" s="11">
        <v>5000</v>
      </c>
      <c r="T98" s="11">
        <v>5000</v>
      </c>
      <c r="U98" s="11">
        <v>0</v>
      </c>
      <c r="V98" s="11">
        <v>0</v>
      </c>
      <c r="W98" s="11">
        <v>0</v>
      </c>
      <c r="X98" s="31">
        <v>0</v>
      </c>
      <c r="Y98" s="41">
        <f t="shared" si="32"/>
        <v>5000</v>
      </c>
      <c r="Z98" s="42">
        <v>0</v>
      </c>
      <c r="AA98" s="42"/>
      <c r="AB98" s="43">
        <f t="shared" si="33"/>
        <v>0</v>
      </c>
      <c r="AC98" s="43">
        <f t="shared" si="34"/>
        <v>0</v>
      </c>
    </row>
    <row r="99" spans="1:30" ht="18.75" x14ac:dyDescent="0.3">
      <c r="A99" s="9">
        <v>9</v>
      </c>
      <c r="B99" s="33" t="s">
        <v>48</v>
      </c>
      <c r="C99" s="33" t="s">
        <v>42</v>
      </c>
      <c r="D99" s="33">
        <v>2</v>
      </c>
      <c r="E99" s="33">
        <v>2</v>
      </c>
      <c r="F99" s="33">
        <v>7</v>
      </c>
      <c r="G99" s="33">
        <v>326</v>
      </c>
      <c r="H99" s="33" t="s">
        <v>57</v>
      </c>
      <c r="I99" s="33">
        <v>1</v>
      </c>
      <c r="J99" s="33">
        <v>2</v>
      </c>
      <c r="K99" s="33">
        <v>7</v>
      </c>
      <c r="L99" s="33">
        <v>0</v>
      </c>
      <c r="M99" s="33">
        <v>1548</v>
      </c>
      <c r="N99" s="33">
        <v>1</v>
      </c>
      <c r="O99" s="33">
        <v>1</v>
      </c>
      <c r="P99" s="9">
        <v>0</v>
      </c>
      <c r="Q99" s="10"/>
      <c r="R99" s="11">
        <v>125000</v>
      </c>
      <c r="S99" s="11">
        <v>125000</v>
      </c>
      <c r="T99" s="11">
        <v>125000</v>
      </c>
      <c r="U99" s="11">
        <v>0</v>
      </c>
      <c r="V99" s="11">
        <v>0</v>
      </c>
      <c r="W99" s="11">
        <v>0</v>
      </c>
      <c r="X99" s="31">
        <v>0</v>
      </c>
      <c r="Y99" s="41">
        <f t="shared" si="32"/>
        <v>125000</v>
      </c>
      <c r="Z99" s="42">
        <v>0</v>
      </c>
      <c r="AA99" s="42"/>
      <c r="AB99" s="43">
        <f t="shared" si="33"/>
        <v>0</v>
      </c>
      <c r="AC99" s="43">
        <f t="shared" si="34"/>
        <v>0</v>
      </c>
    </row>
    <row r="100" spans="1:30" ht="18.75" x14ac:dyDescent="0.3">
      <c r="A100" s="9">
        <v>9</v>
      </c>
      <c r="B100" s="33" t="s">
        <v>48</v>
      </c>
      <c r="C100" s="33" t="s">
        <v>42</v>
      </c>
      <c r="D100" s="33">
        <v>2</v>
      </c>
      <c r="E100" s="33">
        <v>2</v>
      </c>
      <c r="F100" s="33">
        <v>7</v>
      </c>
      <c r="G100" s="33">
        <v>326</v>
      </c>
      <c r="H100" s="33" t="s">
        <v>57</v>
      </c>
      <c r="I100" s="33">
        <v>1</v>
      </c>
      <c r="J100" s="33">
        <v>2</v>
      </c>
      <c r="K100" s="33">
        <v>7</v>
      </c>
      <c r="L100" s="33">
        <v>0</v>
      </c>
      <c r="M100" s="33">
        <v>1549</v>
      </c>
      <c r="N100" s="33">
        <v>1</v>
      </c>
      <c r="O100" s="33">
        <v>1</v>
      </c>
      <c r="P100" s="9">
        <v>0</v>
      </c>
      <c r="Q100" s="10"/>
      <c r="R100" s="11">
        <v>91500</v>
      </c>
      <c r="S100" s="11">
        <v>91500</v>
      </c>
      <c r="T100" s="11">
        <v>91500</v>
      </c>
      <c r="U100" s="11">
        <v>0</v>
      </c>
      <c r="V100" s="11">
        <v>71379</v>
      </c>
      <c r="W100" s="11">
        <v>0</v>
      </c>
      <c r="X100" s="31">
        <v>0</v>
      </c>
      <c r="Y100" s="41">
        <f t="shared" si="32"/>
        <v>20121</v>
      </c>
      <c r="Z100" s="42">
        <v>0</v>
      </c>
      <c r="AA100" s="42"/>
      <c r="AB100" s="43">
        <f t="shared" si="33"/>
        <v>0</v>
      </c>
      <c r="AC100" s="43">
        <f t="shared" si="34"/>
        <v>0</v>
      </c>
    </row>
    <row r="101" spans="1:30" ht="18.75" x14ac:dyDescent="0.3">
      <c r="A101" s="9">
        <v>9</v>
      </c>
      <c r="B101" s="33" t="s">
        <v>48</v>
      </c>
      <c r="C101" s="33" t="s">
        <v>42</v>
      </c>
      <c r="D101" s="33">
        <v>2</v>
      </c>
      <c r="E101" s="33">
        <v>2</v>
      </c>
      <c r="F101" s="33">
        <v>7</v>
      </c>
      <c r="G101" s="33">
        <v>326</v>
      </c>
      <c r="H101" s="33" t="s">
        <v>57</v>
      </c>
      <c r="I101" s="33">
        <v>1</v>
      </c>
      <c r="J101" s="33">
        <v>2</v>
      </c>
      <c r="K101" s="33">
        <v>7</v>
      </c>
      <c r="L101" s="33">
        <v>0</v>
      </c>
      <c r="M101" s="33">
        <v>1591</v>
      </c>
      <c r="N101" s="33">
        <v>1</v>
      </c>
      <c r="O101" s="33">
        <v>1</v>
      </c>
      <c r="P101" s="9">
        <v>0</v>
      </c>
      <c r="Q101" s="10"/>
      <c r="R101" s="11">
        <v>1856606</v>
      </c>
      <c r="S101" s="11">
        <v>1856606</v>
      </c>
      <c r="T101" s="11">
        <v>1441693</v>
      </c>
      <c r="U101" s="11">
        <v>77595</v>
      </c>
      <c r="V101" s="11">
        <v>999529</v>
      </c>
      <c r="W101" s="11">
        <v>0</v>
      </c>
      <c r="X101" s="31">
        <v>857077</v>
      </c>
      <c r="Y101" s="41">
        <f t="shared" si="32"/>
        <v>0</v>
      </c>
      <c r="Z101" s="42">
        <v>934672</v>
      </c>
      <c r="AA101" s="42"/>
      <c r="AB101" s="43">
        <f t="shared" si="33"/>
        <v>77595</v>
      </c>
      <c r="AC101" s="43">
        <f t="shared" si="34"/>
        <v>0</v>
      </c>
    </row>
    <row r="102" spans="1:30" ht="18.75" x14ac:dyDescent="0.3">
      <c r="A102" s="9">
        <v>9</v>
      </c>
      <c r="B102" s="33" t="s">
        <v>48</v>
      </c>
      <c r="C102" s="33" t="s">
        <v>42</v>
      </c>
      <c r="D102" s="33">
        <v>2</v>
      </c>
      <c r="E102" s="33">
        <v>2</v>
      </c>
      <c r="F102" s="33">
        <v>7</v>
      </c>
      <c r="G102" s="33">
        <v>326</v>
      </c>
      <c r="H102" s="33">
        <v>1</v>
      </c>
      <c r="I102" s="33">
        <v>1</v>
      </c>
      <c r="J102" s="33">
        <v>1</v>
      </c>
      <c r="K102" s="33">
        <v>7</v>
      </c>
      <c r="L102" s="33">
        <v>0</v>
      </c>
      <c r="M102" s="33">
        <v>1591</v>
      </c>
      <c r="N102" s="33">
        <v>1</v>
      </c>
      <c r="O102" s="33">
        <v>1</v>
      </c>
      <c r="P102" s="9">
        <v>0</v>
      </c>
      <c r="Q102" s="10"/>
      <c r="R102" s="13">
        <v>2645022</v>
      </c>
      <c r="S102" s="13">
        <v>2645022</v>
      </c>
      <c r="T102" s="13">
        <v>1923656</v>
      </c>
      <c r="U102" s="13">
        <v>240457</v>
      </c>
      <c r="V102" s="13">
        <v>1923656</v>
      </c>
      <c r="W102" s="13">
        <v>0</v>
      </c>
      <c r="X102" s="35">
        <v>721366</v>
      </c>
      <c r="Y102" s="71">
        <f t="shared" si="32"/>
        <v>0</v>
      </c>
      <c r="Z102" s="47">
        <v>961823</v>
      </c>
      <c r="AA102" s="47"/>
      <c r="AB102" s="48">
        <f t="shared" si="33"/>
        <v>240457</v>
      </c>
      <c r="AC102" s="48">
        <f t="shared" si="34"/>
        <v>0</v>
      </c>
    </row>
    <row r="103" spans="1:30" ht="18.75" x14ac:dyDescent="0.3">
      <c r="A103" s="9"/>
      <c r="B103" s="33"/>
      <c r="C103" s="33"/>
      <c r="D103" s="9"/>
      <c r="E103" s="9"/>
      <c r="F103" s="9"/>
      <c r="G103" s="9"/>
      <c r="H103" s="9"/>
      <c r="I103" s="9"/>
      <c r="J103" s="9"/>
      <c r="K103" s="9"/>
      <c r="L103" s="9"/>
      <c r="M103" s="9"/>
      <c r="N103" s="175" t="s">
        <v>13</v>
      </c>
      <c r="O103" s="175"/>
      <c r="P103" s="175"/>
      <c r="Q103" s="175"/>
      <c r="R103" s="14">
        <f t="shared" ref="R103:Z103" si="35">SUM(R81:R102)</f>
        <v>32552819</v>
      </c>
      <c r="S103" s="14">
        <f t="shared" si="35"/>
        <v>32552819</v>
      </c>
      <c r="T103" s="14">
        <f t="shared" si="35"/>
        <v>21573171</v>
      </c>
      <c r="U103" s="14">
        <f t="shared" si="35"/>
        <v>2153881.4900000002</v>
      </c>
      <c r="V103" s="14">
        <f t="shared" si="35"/>
        <v>17634354.920000002</v>
      </c>
      <c r="W103" s="14">
        <f t="shared" si="35"/>
        <v>0</v>
      </c>
      <c r="X103" s="36">
        <f>SUM(X81:X102)</f>
        <v>11476011.959999999</v>
      </c>
      <c r="Y103" s="36">
        <f t="shared" si="35"/>
        <v>3442452.1199999996</v>
      </c>
      <c r="Z103" s="49">
        <f t="shared" si="35"/>
        <v>13591661.130000001</v>
      </c>
      <c r="AA103" s="49"/>
      <c r="AB103" s="49">
        <f>SUM(AB81:AB102)</f>
        <v>2115649.1700000004</v>
      </c>
      <c r="AC103" s="49">
        <f>SUM(AC81:AC102)</f>
        <v>38232.320000000007</v>
      </c>
      <c r="AD103" s="2"/>
    </row>
    <row r="104" spans="1:30" ht="18.75" x14ac:dyDescent="0.3">
      <c r="A104" s="9">
        <v>9</v>
      </c>
      <c r="B104" s="33" t="s">
        <v>48</v>
      </c>
      <c r="C104" s="33" t="s">
        <v>42</v>
      </c>
      <c r="D104" s="33">
        <v>2</v>
      </c>
      <c r="E104" s="33">
        <v>2</v>
      </c>
      <c r="F104" s="33">
        <v>7</v>
      </c>
      <c r="G104" s="33">
        <v>326</v>
      </c>
      <c r="H104" s="33">
        <v>4</v>
      </c>
      <c r="I104" s="33">
        <v>1</v>
      </c>
      <c r="J104" s="33">
        <v>2</v>
      </c>
      <c r="K104" s="33">
        <v>7</v>
      </c>
      <c r="L104" s="33">
        <v>0</v>
      </c>
      <c r="M104" s="33">
        <v>2111</v>
      </c>
      <c r="N104" s="33">
        <v>1</v>
      </c>
      <c r="O104" s="33">
        <v>1</v>
      </c>
      <c r="P104" s="9">
        <v>0</v>
      </c>
      <c r="Q104" s="10"/>
      <c r="R104" s="11">
        <v>215000</v>
      </c>
      <c r="S104" s="11">
        <v>215000</v>
      </c>
      <c r="T104" s="11">
        <v>200000</v>
      </c>
      <c r="U104" s="11">
        <v>133.62</v>
      </c>
      <c r="V104" s="11">
        <v>159936.13</v>
      </c>
      <c r="W104" s="11">
        <v>0</v>
      </c>
      <c r="X104" s="31">
        <v>34739.229999999996</v>
      </c>
      <c r="Y104" s="41">
        <f t="shared" ref="Y104:Y122" si="36">+S104-V104-X104-W104</f>
        <v>20324.64</v>
      </c>
      <c r="Z104" s="42">
        <v>34739.229999999996</v>
      </c>
      <c r="AA104" s="11"/>
      <c r="AB104" s="43">
        <f t="shared" ref="AB104:AB122" si="37">+Z104-X104+AA104-W104</f>
        <v>0</v>
      </c>
      <c r="AC104" s="43">
        <f t="shared" ref="AC104:AC122" si="38">+U104-AB104</f>
        <v>133.62</v>
      </c>
    </row>
    <row r="105" spans="1:30" ht="18.75" x14ac:dyDescent="0.3">
      <c r="A105" s="9">
        <v>9</v>
      </c>
      <c r="B105" s="33" t="s">
        <v>48</v>
      </c>
      <c r="C105" s="33" t="s">
        <v>42</v>
      </c>
      <c r="D105" s="33">
        <v>2</v>
      </c>
      <c r="E105" s="33">
        <v>2</v>
      </c>
      <c r="F105" s="33">
        <v>7</v>
      </c>
      <c r="G105" s="33">
        <v>326</v>
      </c>
      <c r="H105" s="33">
        <v>4</v>
      </c>
      <c r="I105" s="33">
        <v>1</v>
      </c>
      <c r="J105" s="33">
        <v>2</v>
      </c>
      <c r="K105" s="33">
        <v>7</v>
      </c>
      <c r="L105" s="33">
        <v>0</v>
      </c>
      <c r="M105" s="33">
        <v>2141</v>
      </c>
      <c r="N105" s="33">
        <v>1</v>
      </c>
      <c r="O105" s="33">
        <v>1</v>
      </c>
      <c r="P105" s="9">
        <v>0</v>
      </c>
      <c r="Q105" s="10"/>
      <c r="R105" s="11">
        <v>150000</v>
      </c>
      <c r="S105" s="11">
        <v>150000</v>
      </c>
      <c r="T105" s="11">
        <v>142500</v>
      </c>
      <c r="U105" s="11">
        <v>121826</v>
      </c>
      <c r="V105" s="11">
        <v>136026</v>
      </c>
      <c r="W105" s="11">
        <v>0</v>
      </c>
      <c r="X105" s="31">
        <v>459</v>
      </c>
      <c r="Y105" s="41">
        <f t="shared" si="36"/>
        <v>13515</v>
      </c>
      <c r="Z105" s="42">
        <v>459</v>
      </c>
      <c r="AA105" s="42">
        <v>119634</v>
      </c>
      <c r="AB105" s="43">
        <f t="shared" si="37"/>
        <v>119634</v>
      </c>
      <c r="AC105" s="43">
        <f t="shared" si="38"/>
        <v>2192</v>
      </c>
    </row>
    <row r="106" spans="1:30" ht="18.75" x14ac:dyDescent="0.3">
      <c r="A106" s="9">
        <v>9</v>
      </c>
      <c r="B106" s="33" t="s">
        <v>48</v>
      </c>
      <c r="C106" s="33" t="s">
        <v>42</v>
      </c>
      <c r="D106" s="33">
        <v>2</v>
      </c>
      <c r="E106" s="33">
        <v>2</v>
      </c>
      <c r="F106" s="33">
        <v>7</v>
      </c>
      <c r="G106" s="33">
        <v>326</v>
      </c>
      <c r="H106" s="33">
        <v>4</v>
      </c>
      <c r="I106" s="33">
        <v>1</v>
      </c>
      <c r="J106" s="33">
        <v>2</v>
      </c>
      <c r="K106" s="33">
        <v>7</v>
      </c>
      <c r="L106" s="33">
        <v>0</v>
      </c>
      <c r="M106" s="33">
        <v>2151</v>
      </c>
      <c r="N106" s="33">
        <v>1</v>
      </c>
      <c r="O106" s="33">
        <v>1</v>
      </c>
      <c r="P106" s="9">
        <v>0</v>
      </c>
      <c r="Q106" s="10"/>
      <c r="R106" s="11">
        <v>13000</v>
      </c>
      <c r="S106" s="11">
        <v>13000</v>
      </c>
      <c r="T106" s="11">
        <v>13000</v>
      </c>
      <c r="U106" s="11">
        <v>0</v>
      </c>
      <c r="V106" s="11">
        <v>0</v>
      </c>
      <c r="W106" s="11">
        <v>0</v>
      </c>
      <c r="X106" s="31">
        <v>0</v>
      </c>
      <c r="Y106" s="41">
        <f t="shared" si="36"/>
        <v>13000</v>
      </c>
      <c r="Z106" s="42">
        <v>0</v>
      </c>
      <c r="AA106" s="42"/>
      <c r="AB106" s="43">
        <f t="shared" si="37"/>
        <v>0</v>
      </c>
      <c r="AC106" s="43">
        <f t="shared" si="38"/>
        <v>0</v>
      </c>
    </row>
    <row r="107" spans="1:30" ht="18.75" x14ac:dyDescent="0.3">
      <c r="A107" s="9">
        <v>9</v>
      </c>
      <c r="B107" s="33" t="s">
        <v>48</v>
      </c>
      <c r="C107" s="33" t="s">
        <v>42</v>
      </c>
      <c r="D107" s="33">
        <v>2</v>
      </c>
      <c r="E107" s="33">
        <v>2</v>
      </c>
      <c r="F107" s="33">
        <v>7</v>
      </c>
      <c r="G107" s="33">
        <v>326</v>
      </c>
      <c r="H107" s="33">
        <v>4</v>
      </c>
      <c r="I107" s="33">
        <v>1</v>
      </c>
      <c r="J107" s="33">
        <v>2</v>
      </c>
      <c r="K107" s="33">
        <v>7</v>
      </c>
      <c r="L107" s="33">
        <v>0</v>
      </c>
      <c r="M107" s="33">
        <v>2161</v>
      </c>
      <c r="N107" s="33">
        <v>1</v>
      </c>
      <c r="O107" s="33">
        <v>1</v>
      </c>
      <c r="P107" s="9">
        <v>0</v>
      </c>
      <c r="Q107" s="10"/>
      <c r="R107" s="11">
        <v>3000</v>
      </c>
      <c r="S107" s="11">
        <v>3000</v>
      </c>
      <c r="T107" s="11">
        <v>2250</v>
      </c>
      <c r="U107" s="11">
        <v>0</v>
      </c>
      <c r="V107" s="11">
        <v>240.93</v>
      </c>
      <c r="W107" s="11">
        <v>0</v>
      </c>
      <c r="X107" s="31">
        <v>0</v>
      </c>
      <c r="Y107" s="41">
        <f t="shared" si="36"/>
        <v>2759.07</v>
      </c>
      <c r="Z107" s="42">
        <v>0</v>
      </c>
      <c r="AA107" s="42"/>
      <c r="AB107" s="43">
        <f t="shared" si="37"/>
        <v>0</v>
      </c>
      <c r="AC107" s="43">
        <f t="shared" si="38"/>
        <v>0</v>
      </c>
    </row>
    <row r="108" spans="1:30" ht="18.75" x14ac:dyDescent="0.3">
      <c r="A108" s="9">
        <v>9</v>
      </c>
      <c r="B108" s="33" t="s">
        <v>48</v>
      </c>
      <c r="C108" s="33" t="s">
        <v>42</v>
      </c>
      <c r="D108" s="33">
        <v>2</v>
      </c>
      <c r="E108" s="33">
        <v>2</v>
      </c>
      <c r="F108" s="33">
        <v>7</v>
      </c>
      <c r="G108" s="33">
        <v>326</v>
      </c>
      <c r="H108" s="33">
        <v>4</v>
      </c>
      <c r="I108" s="33">
        <v>1</v>
      </c>
      <c r="J108" s="33">
        <v>2</v>
      </c>
      <c r="K108" s="33">
        <v>7</v>
      </c>
      <c r="L108" s="33">
        <v>0</v>
      </c>
      <c r="M108" s="33">
        <v>2211</v>
      </c>
      <c r="N108" s="33">
        <v>1</v>
      </c>
      <c r="O108" s="33">
        <v>1</v>
      </c>
      <c r="P108" s="9">
        <v>0</v>
      </c>
      <c r="Q108" s="10"/>
      <c r="R108" s="11">
        <v>25000</v>
      </c>
      <c r="S108" s="11">
        <v>25000</v>
      </c>
      <c r="T108" s="11">
        <v>18747</v>
      </c>
      <c r="U108" s="11">
        <v>1007</v>
      </c>
      <c r="V108" s="11">
        <v>14211</v>
      </c>
      <c r="W108" s="11">
        <v>0</v>
      </c>
      <c r="X108" s="31">
        <v>10051</v>
      </c>
      <c r="Y108" s="41">
        <f t="shared" si="36"/>
        <v>738</v>
      </c>
      <c r="Z108" s="42">
        <v>11058</v>
      </c>
      <c r="AA108" s="42"/>
      <c r="AB108" s="43">
        <f t="shared" si="37"/>
        <v>1007</v>
      </c>
      <c r="AC108" s="43">
        <f t="shared" si="38"/>
        <v>0</v>
      </c>
    </row>
    <row r="109" spans="1:30" ht="18.75" x14ac:dyDescent="0.3">
      <c r="A109" s="9">
        <v>9</v>
      </c>
      <c r="B109" s="33" t="s">
        <v>48</v>
      </c>
      <c r="C109" s="33" t="s">
        <v>42</v>
      </c>
      <c r="D109" s="33">
        <v>2</v>
      </c>
      <c r="E109" s="33">
        <v>2</v>
      </c>
      <c r="F109" s="33">
        <v>7</v>
      </c>
      <c r="G109" s="33">
        <v>326</v>
      </c>
      <c r="H109" s="33">
        <v>4</v>
      </c>
      <c r="I109" s="33">
        <v>1</v>
      </c>
      <c r="J109" s="33">
        <v>2</v>
      </c>
      <c r="K109" s="33">
        <v>7</v>
      </c>
      <c r="L109" s="33">
        <v>0</v>
      </c>
      <c r="M109" s="33">
        <v>2231</v>
      </c>
      <c r="N109" s="33">
        <v>1</v>
      </c>
      <c r="O109" s="33">
        <v>1</v>
      </c>
      <c r="P109" s="9">
        <v>0</v>
      </c>
      <c r="Q109" s="10"/>
      <c r="R109" s="11">
        <v>2500</v>
      </c>
      <c r="S109" s="11">
        <v>2500</v>
      </c>
      <c r="T109" s="11">
        <v>1872</v>
      </c>
      <c r="U109" s="11">
        <v>0</v>
      </c>
      <c r="V109" s="11">
        <v>87.4</v>
      </c>
      <c r="W109" s="11">
        <v>0</v>
      </c>
      <c r="X109" s="31">
        <v>0</v>
      </c>
      <c r="Y109" s="41">
        <f t="shared" si="36"/>
        <v>2412.6</v>
      </c>
      <c r="Z109" s="42">
        <v>0</v>
      </c>
      <c r="AA109" s="42"/>
      <c r="AB109" s="43">
        <f t="shared" si="37"/>
        <v>0</v>
      </c>
      <c r="AC109" s="43">
        <f t="shared" si="38"/>
        <v>0</v>
      </c>
    </row>
    <row r="110" spans="1:30" ht="18.75" x14ac:dyDescent="0.3">
      <c r="A110" s="9">
        <v>9</v>
      </c>
      <c r="B110" s="33" t="s">
        <v>48</v>
      </c>
      <c r="C110" s="33" t="s">
        <v>42</v>
      </c>
      <c r="D110" s="33">
        <v>2</v>
      </c>
      <c r="E110" s="33">
        <v>2</v>
      </c>
      <c r="F110" s="33">
        <v>7</v>
      </c>
      <c r="G110" s="33">
        <v>326</v>
      </c>
      <c r="H110" s="33">
        <v>4</v>
      </c>
      <c r="I110" s="33">
        <v>1</v>
      </c>
      <c r="J110" s="33">
        <v>2</v>
      </c>
      <c r="K110" s="33">
        <v>7</v>
      </c>
      <c r="L110" s="33">
        <v>0</v>
      </c>
      <c r="M110" s="33">
        <v>2419</v>
      </c>
      <c r="N110" s="33">
        <v>1</v>
      </c>
      <c r="O110" s="33">
        <v>1</v>
      </c>
      <c r="P110" s="9">
        <v>0</v>
      </c>
      <c r="Q110" s="10"/>
      <c r="R110" s="11">
        <v>5000</v>
      </c>
      <c r="S110" s="11">
        <v>5000</v>
      </c>
      <c r="T110" s="11">
        <v>5000</v>
      </c>
      <c r="U110" s="11">
        <v>0</v>
      </c>
      <c r="V110" s="11">
        <v>0</v>
      </c>
      <c r="W110" s="11">
        <v>0</v>
      </c>
      <c r="X110" s="31">
        <v>0</v>
      </c>
      <c r="Y110" s="41">
        <f t="shared" si="36"/>
        <v>5000</v>
      </c>
      <c r="Z110" s="42">
        <v>0</v>
      </c>
      <c r="AA110" s="42"/>
      <c r="AB110" s="43">
        <f t="shared" si="37"/>
        <v>0</v>
      </c>
      <c r="AC110" s="43">
        <f t="shared" si="38"/>
        <v>0</v>
      </c>
    </row>
    <row r="111" spans="1:30" ht="18.75" x14ac:dyDescent="0.3">
      <c r="A111" s="9">
        <v>9</v>
      </c>
      <c r="B111" s="33" t="s">
        <v>48</v>
      </c>
      <c r="C111" s="33" t="s">
        <v>42</v>
      </c>
      <c r="D111" s="33">
        <v>2</v>
      </c>
      <c r="E111" s="33">
        <v>2</v>
      </c>
      <c r="F111" s="33">
        <v>7</v>
      </c>
      <c r="G111" s="33">
        <v>326</v>
      </c>
      <c r="H111" s="33">
        <v>4</v>
      </c>
      <c r="I111" s="33">
        <v>1</v>
      </c>
      <c r="J111" s="33">
        <v>2</v>
      </c>
      <c r="K111" s="33">
        <v>7</v>
      </c>
      <c r="L111" s="33">
        <v>0</v>
      </c>
      <c r="M111" s="33">
        <v>2441</v>
      </c>
      <c r="N111" s="33">
        <v>1</v>
      </c>
      <c r="O111" s="33">
        <v>1</v>
      </c>
      <c r="P111" s="9">
        <v>0</v>
      </c>
      <c r="Q111" s="10"/>
      <c r="R111" s="11">
        <v>5000</v>
      </c>
      <c r="S111" s="11">
        <v>5000</v>
      </c>
      <c r="T111" s="11">
        <v>5000</v>
      </c>
      <c r="U111" s="11">
        <v>0</v>
      </c>
      <c r="V111" s="11">
        <v>0</v>
      </c>
      <c r="W111" s="11">
        <v>0</v>
      </c>
      <c r="X111" s="31">
        <v>0</v>
      </c>
      <c r="Y111" s="41">
        <f t="shared" si="36"/>
        <v>5000</v>
      </c>
      <c r="Z111" s="42">
        <v>0</v>
      </c>
      <c r="AA111" s="42"/>
      <c r="AB111" s="43">
        <f t="shared" si="37"/>
        <v>0</v>
      </c>
      <c r="AC111" s="43">
        <f t="shared" si="38"/>
        <v>0</v>
      </c>
    </row>
    <row r="112" spans="1:30" ht="18.75" x14ac:dyDescent="0.3">
      <c r="A112" s="9">
        <v>9</v>
      </c>
      <c r="B112" s="33" t="s">
        <v>48</v>
      </c>
      <c r="C112" s="33" t="s">
        <v>42</v>
      </c>
      <c r="D112" s="33">
        <v>2</v>
      </c>
      <c r="E112" s="33">
        <v>2</v>
      </c>
      <c r="F112" s="33">
        <v>7</v>
      </c>
      <c r="G112" s="33">
        <v>326</v>
      </c>
      <c r="H112" s="33">
        <v>4</v>
      </c>
      <c r="I112" s="33">
        <v>1</v>
      </c>
      <c r="J112" s="33">
        <v>2</v>
      </c>
      <c r="K112" s="33">
        <v>7</v>
      </c>
      <c r="L112" s="33">
        <v>0</v>
      </c>
      <c r="M112" s="33">
        <v>2461</v>
      </c>
      <c r="N112" s="33">
        <v>1</v>
      </c>
      <c r="O112" s="33">
        <v>1</v>
      </c>
      <c r="P112" s="9">
        <v>0</v>
      </c>
      <c r="Q112" s="10"/>
      <c r="R112" s="11">
        <v>10000</v>
      </c>
      <c r="S112" s="11">
        <v>10000</v>
      </c>
      <c r="T112" s="11">
        <v>10000</v>
      </c>
      <c r="U112" s="11">
        <v>0</v>
      </c>
      <c r="V112" s="11">
        <v>2979.61</v>
      </c>
      <c r="W112" s="11">
        <v>0</v>
      </c>
      <c r="X112" s="31">
        <v>0</v>
      </c>
      <c r="Y112" s="41">
        <f t="shared" si="36"/>
        <v>7020.3899999999994</v>
      </c>
      <c r="Z112" s="42">
        <v>0</v>
      </c>
      <c r="AA112" s="42"/>
      <c r="AB112" s="43">
        <f t="shared" si="37"/>
        <v>0</v>
      </c>
      <c r="AC112" s="43">
        <f t="shared" si="38"/>
        <v>0</v>
      </c>
    </row>
    <row r="113" spans="1:29" ht="18.75" x14ac:dyDescent="0.3">
      <c r="A113" s="9">
        <v>9</v>
      </c>
      <c r="B113" s="33" t="s">
        <v>48</v>
      </c>
      <c r="C113" s="33" t="s">
        <v>42</v>
      </c>
      <c r="D113" s="33">
        <v>2</v>
      </c>
      <c r="E113" s="33">
        <v>2</v>
      </c>
      <c r="F113" s="33">
        <v>7</v>
      </c>
      <c r="G113" s="33">
        <v>326</v>
      </c>
      <c r="H113" s="33">
        <v>4</v>
      </c>
      <c r="I113" s="33">
        <v>1</v>
      </c>
      <c r="J113" s="33">
        <v>2</v>
      </c>
      <c r="K113" s="33">
        <v>7</v>
      </c>
      <c r="L113" s="33">
        <v>0</v>
      </c>
      <c r="M113" s="33">
        <v>2471</v>
      </c>
      <c r="N113" s="33">
        <v>1</v>
      </c>
      <c r="O113" s="33">
        <v>1</v>
      </c>
      <c r="P113" s="9">
        <v>0</v>
      </c>
      <c r="Q113" s="10"/>
      <c r="R113" s="11">
        <v>3600</v>
      </c>
      <c r="S113" s="11">
        <v>3600</v>
      </c>
      <c r="T113" s="11">
        <v>2700</v>
      </c>
      <c r="U113" s="11">
        <v>0</v>
      </c>
      <c r="V113" s="11">
        <v>0</v>
      </c>
      <c r="W113" s="11">
        <v>0</v>
      </c>
      <c r="X113" s="31">
        <v>0</v>
      </c>
      <c r="Y113" s="41">
        <f t="shared" si="36"/>
        <v>3600</v>
      </c>
      <c r="Z113" s="42">
        <v>0</v>
      </c>
      <c r="AA113" s="42"/>
      <c r="AB113" s="43">
        <f t="shared" si="37"/>
        <v>0</v>
      </c>
      <c r="AC113" s="43">
        <f t="shared" si="38"/>
        <v>0</v>
      </c>
    </row>
    <row r="114" spans="1:29" ht="18.75" x14ac:dyDescent="0.3">
      <c r="A114" s="9">
        <v>9</v>
      </c>
      <c r="B114" s="33" t="s">
        <v>48</v>
      </c>
      <c r="C114" s="33" t="s">
        <v>42</v>
      </c>
      <c r="D114" s="33">
        <v>2</v>
      </c>
      <c r="E114" s="33">
        <v>2</v>
      </c>
      <c r="F114" s="33">
        <v>7</v>
      </c>
      <c r="G114" s="33">
        <v>326</v>
      </c>
      <c r="H114" s="33">
        <v>4</v>
      </c>
      <c r="I114" s="33">
        <v>1</v>
      </c>
      <c r="J114" s="33">
        <v>2</v>
      </c>
      <c r="K114" s="33">
        <v>7</v>
      </c>
      <c r="L114" s="33">
        <v>0</v>
      </c>
      <c r="M114" s="33">
        <v>2481</v>
      </c>
      <c r="N114" s="33">
        <v>1</v>
      </c>
      <c r="O114" s="33">
        <v>1</v>
      </c>
      <c r="P114" s="9">
        <v>0</v>
      </c>
      <c r="Q114" s="10"/>
      <c r="R114" s="11">
        <v>3000</v>
      </c>
      <c r="S114" s="11">
        <v>3000</v>
      </c>
      <c r="T114" s="11">
        <v>2250</v>
      </c>
      <c r="U114" s="11">
        <v>0</v>
      </c>
      <c r="V114" s="11">
        <v>181.75</v>
      </c>
      <c r="W114" s="11">
        <v>0</v>
      </c>
      <c r="X114" s="31">
        <v>0</v>
      </c>
      <c r="Y114" s="41">
        <f t="shared" si="36"/>
        <v>2818.25</v>
      </c>
      <c r="Z114" s="42">
        <v>0</v>
      </c>
      <c r="AA114" s="42"/>
      <c r="AB114" s="43">
        <f t="shared" si="37"/>
        <v>0</v>
      </c>
      <c r="AC114" s="43">
        <f t="shared" si="38"/>
        <v>0</v>
      </c>
    </row>
    <row r="115" spans="1:29" ht="18.75" x14ac:dyDescent="0.3">
      <c r="A115" s="9">
        <v>9</v>
      </c>
      <c r="B115" s="33" t="s">
        <v>48</v>
      </c>
      <c r="C115" s="33" t="s">
        <v>42</v>
      </c>
      <c r="D115" s="33">
        <v>2</v>
      </c>
      <c r="E115" s="33">
        <v>2</v>
      </c>
      <c r="F115" s="33">
        <v>7</v>
      </c>
      <c r="G115" s="33">
        <v>326</v>
      </c>
      <c r="H115" s="33">
        <v>4</v>
      </c>
      <c r="I115" s="33">
        <v>1</v>
      </c>
      <c r="J115" s="33">
        <v>2</v>
      </c>
      <c r="K115" s="33">
        <v>7</v>
      </c>
      <c r="L115" s="33">
        <v>0</v>
      </c>
      <c r="M115" s="33">
        <v>2491</v>
      </c>
      <c r="N115" s="33">
        <v>1</v>
      </c>
      <c r="O115" s="33">
        <v>1</v>
      </c>
      <c r="P115" s="9">
        <v>0</v>
      </c>
      <c r="Q115" s="10"/>
      <c r="R115" s="11">
        <v>6000</v>
      </c>
      <c r="S115" s="11">
        <v>6000</v>
      </c>
      <c r="T115" s="11">
        <v>4500</v>
      </c>
      <c r="U115" s="11">
        <v>0</v>
      </c>
      <c r="V115" s="11">
        <v>1826.49</v>
      </c>
      <c r="W115" s="11">
        <v>0</v>
      </c>
      <c r="X115" s="31">
        <v>0</v>
      </c>
      <c r="Y115" s="41">
        <f t="shared" si="36"/>
        <v>4173.51</v>
      </c>
      <c r="Z115" s="42">
        <v>0</v>
      </c>
      <c r="AA115" s="42"/>
      <c r="AB115" s="43">
        <f t="shared" si="37"/>
        <v>0</v>
      </c>
      <c r="AC115" s="43">
        <f t="shared" si="38"/>
        <v>0</v>
      </c>
    </row>
    <row r="116" spans="1:29" ht="18.75" x14ac:dyDescent="0.3">
      <c r="A116" s="9">
        <v>9</v>
      </c>
      <c r="B116" s="33" t="s">
        <v>48</v>
      </c>
      <c r="C116" s="33" t="s">
        <v>42</v>
      </c>
      <c r="D116" s="33">
        <v>2</v>
      </c>
      <c r="E116" s="33">
        <v>2</v>
      </c>
      <c r="F116" s="33">
        <v>7</v>
      </c>
      <c r="G116" s="33">
        <v>326</v>
      </c>
      <c r="H116" s="33">
        <v>4</v>
      </c>
      <c r="I116" s="33">
        <v>1</v>
      </c>
      <c r="J116" s="33">
        <v>2</v>
      </c>
      <c r="K116" s="33">
        <v>7</v>
      </c>
      <c r="L116" s="33">
        <v>0</v>
      </c>
      <c r="M116" s="33">
        <v>2531</v>
      </c>
      <c r="N116" s="33">
        <v>1</v>
      </c>
      <c r="O116" s="33">
        <v>1</v>
      </c>
      <c r="P116" s="9">
        <v>0</v>
      </c>
      <c r="Q116" s="10"/>
      <c r="R116" s="11">
        <v>5000</v>
      </c>
      <c r="S116" s="11">
        <v>5000</v>
      </c>
      <c r="T116" s="11">
        <v>3753</v>
      </c>
      <c r="U116" s="11">
        <v>0</v>
      </c>
      <c r="V116" s="11">
        <v>0</v>
      </c>
      <c r="W116" s="11">
        <v>0</v>
      </c>
      <c r="X116" s="31">
        <v>0</v>
      </c>
      <c r="Y116" s="41">
        <f t="shared" si="36"/>
        <v>5000</v>
      </c>
      <c r="Z116" s="42">
        <v>0</v>
      </c>
      <c r="AA116" s="42"/>
      <c r="AB116" s="43">
        <f t="shared" si="37"/>
        <v>0</v>
      </c>
      <c r="AC116" s="43">
        <f t="shared" si="38"/>
        <v>0</v>
      </c>
    </row>
    <row r="117" spans="1:29" ht="18.75" x14ac:dyDescent="0.3">
      <c r="A117" s="9">
        <v>9</v>
      </c>
      <c r="B117" s="33" t="s">
        <v>48</v>
      </c>
      <c r="C117" s="33" t="s">
        <v>42</v>
      </c>
      <c r="D117" s="33">
        <v>2</v>
      </c>
      <c r="E117" s="33">
        <v>2</v>
      </c>
      <c r="F117" s="33">
        <v>7</v>
      </c>
      <c r="G117" s="33">
        <v>326</v>
      </c>
      <c r="H117" s="33">
        <v>4</v>
      </c>
      <c r="I117" s="33">
        <v>1</v>
      </c>
      <c r="J117" s="33">
        <v>2</v>
      </c>
      <c r="K117" s="33">
        <v>7</v>
      </c>
      <c r="L117" s="33">
        <v>0</v>
      </c>
      <c r="M117" s="33">
        <v>2541</v>
      </c>
      <c r="N117" s="33">
        <v>1</v>
      </c>
      <c r="O117" s="33">
        <v>1</v>
      </c>
      <c r="P117" s="9">
        <v>0</v>
      </c>
      <c r="Q117" s="10"/>
      <c r="R117" s="11">
        <v>5000</v>
      </c>
      <c r="S117" s="11">
        <v>5000</v>
      </c>
      <c r="T117" s="11">
        <v>3753</v>
      </c>
      <c r="U117" s="11">
        <v>0</v>
      </c>
      <c r="V117" s="11">
        <v>0</v>
      </c>
      <c r="W117" s="11">
        <v>0</v>
      </c>
      <c r="X117" s="31">
        <v>0</v>
      </c>
      <c r="Y117" s="41">
        <f t="shared" si="36"/>
        <v>5000</v>
      </c>
      <c r="Z117" s="42">
        <v>0</v>
      </c>
      <c r="AA117" s="42"/>
      <c r="AB117" s="43">
        <f t="shared" si="37"/>
        <v>0</v>
      </c>
      <c r="AC117" s="43">
        <f t="shared" si="38"/>
        <v>0</v>
      </c>
    </row>
    <row r="118" spans="1:29" ht="18.75" x14ac:dyDescent="0.3">
      <c r="A118" s="9">
        <v>9</v>
      </c>
      <c r="B118" s="33" t="s">
        <v>48</v>
      </c>
      <c r="C118" s="33" t="s">
        <v>42</v>
      </c>
      <c r="D118" s="33">
        <v>2</v>
      </c>
      <c r="E118" s="33">
        <v>2</v>
      </c>
      <c r="F118" s="33">
        <v>7</v>
      </c>
      <c r="G118" s="33">
        <v>326</v>
      </c>
      <c r="H118" s="33">
        <v>4</v>
      </c>
      <c r="I118" s="33">
        <v>1</v>
      </c>
      <c r="J118" s="33">
        <v>2</v>
      </c>
      <c r="K118" s="33">
        <v>7</v>
      </c>
      <c r="L118" s="33">
        <v>0</v>
      </c>
      <c r="M118" s="33">
        <v>2611</v>
      </c>
      <c r="N118" s="33">
        <v>1</v>
      </c>
      <c r="O118" s="33">
        <v>1</v>
      </c>
      <c r="P118" s="9">
        <v>0</v>
      </c>
      <c r="Q118" s="10"/>
      <c r="R118" s="11">
        <v>375000</v>
      </c>
      <c r="S118" s="11">
        <v>375000</v>
      </c>
      <c r="T118" s="11">
        <v>282501</v>
      </c>
      <c r="U118" s="11">
        <v>4834.1799999999994</v>
      </c>
      <c r="V118" s="11">
        <v>206016.19</v>
      </c>
      <c r="W118" s="11">
        <v>0</v>
      </c>
      <c r="X118" s="31">
        <v>164841.56</v>
      </c>
      <c r="Y118" s="41">
        <f t="shared" si="36"/>
        <v>4142.25</v>
      </c>
      <c r="Z118" s="42">
        <v>169675.74</v>
      </c>
      <c r="AA118" s="42"/>
      <c r="AB118" s="43">
        <f t="shared" si="37"/>
        <v>4834.179999999993</v>
      </c>
      <c r="AC118" s="43">
        <f t="shared" si="38"/>
        <v>0</v>
      </c>
    </row>
    <row r="119" spans="1:29" ht="18.75" x14ac:dyDescent="0.3">
      <c r="A119" s="9">
        <v>9</v>
      </c>
      <c r="B119" s="33" t="s">
        <v>48</v>
      </c>
      <c r="C119" s="33" t="s">
        <v>42</v>
      </c>
      <c r="D119" s="33">
        <v>2</v>
      </c>
      <c r="E119" s="33">
        <v>2</v>
      </c>
      <c r="F119" s="33">
        <v>7</v>
      </c>
      <c r="G119" s="33">
        <v>326</v>
      </c>
      <c r="H119" s="33">
        <v>4</v>
      </c>
      <c r="I119" s="33">
        <v>1</v>
      </c>
      <c r="J119" s="33">
        <v>2</v>
      </c>
      <c r="K119" s="33">
        <v>7</v>
      </c>
      <c r="L119" s="33">
        <v>0</v>
      </c>
      <c r="M119" s="33">
        <v>2711</v>
      </c>
      <c r="N119" s="33">
        <v>1</v>
      </c>
      <c r="O119" s="33">
        <v>1</v>
      </c>
      <c r="P119" s="9">
        <v>0</v>
      </c>
      <c r="Q119" s="10"/>
      <c r="R119" s="11">
        <v>10000</v>
      </c>
      <c r="S119" s="11">
        <v>10000</v>
      </c>
      <c r="T119" s="11">
        <v>10000</v>
      </c>
      <c r="U119" s="11">
        <v>0</v>
      </c>
      <c r="V119" s="11">
        <v>0</v>
      </c>
      <c r="W119" s="11">
        <v>0</v>
      </c>
      <c r="X119" s="31">
        <v>0</v>
      </c>
      <c r="Y119" s="41">
        <f t="shared" si="36"/>
        <v>10000</v>
      </c>
      <c r="Z119" s="42">
        <v>0</v>
      </c>
      <c r="AA119" s="42"/>
      <c r="AB119" s="43">
        <f t="shared" si="37"/>
        <v>0</v>
      </c>
      <c r="AC119" s="43">
        <f t="shared" si="38"/>
        <v>0</v>
      </c>
    </row>
    <row r="120" spans="1:29" ht="18.75" x14ac:dyDescent="0.3">
      <c r="A120" s="9">
        <v>9</v>
      </c>
      <c r="B120" s="33" t="s">
        <v>48</v>
      </c>
      <c r="C120" s="33" t="s">
        <v>42</v>
      </c>
      <c r="D120" s="33">
        <v>2</v>
      </c>
      <c r="E120" s="33">
        <v>2</v>
      </c>
      <c r="F120" s="33">
        <v>7</v>
      </c>
      <c r="G120" s="33">
        <v>326</v>
      </c>
      <c r="H120" s="33">
        <v>4</v>
      </c>
      <c r="I120" s="33">
        <v>1</v>
      </c>
      <c r="J120" s="33">
        <v>2</v>
      </c>
      <c r="K120" s="33">
        <v>7</v>
      </c>
      <c r="L120" s="33">
        <v>0</v>
      </c>
      <c r="M120" s="33">
        <v>2911</v>
      </c>
      <c r="N120" s="33">
        <v>1</v>
      </c>
      <c r="O120" s="33">
        <v>1</v>
      </c>
      <c r="P120" s="9">
        <v>0</v>
      </c>
      <c r="Q120" s="10"/>
      <c r="R120" s="11">
        <v>7500</v>
      </c>
      <c r="S120" s="11">
        <v>7500</v>
      </c>
      <c r="T120" s="11">
        <v>7500</v>
      </c>
      <c r="U120" s="11">
        <v>0</v>
      </c>
      <c r="V120" s="11">
        <v>4005</v>
      </c>
      <c r="W120" s="11">
        <v>0</v>
      </c>
      <c r="X120" s="31">
        <v>0</v>
      </c>
      <c r="Y120" s="41">
        <f t="shared" si="36"/>
        <v>3495</v>
      </c>
      <c r="Z120" s="42">
        <v>0</v>
      </c>
      <c r="AA120" s="42"/>
      <c r="AB120" s="43">
        <f t="shared" si="37"/>
        <v>0</v>
      </c>
      <c r="AC120" s="43">
        <f t="shared" si="38"/>
        <v>0</v>
      </c>
    </row>
    <row r="121" spans="1:29" ht="18.75" x14ac:dyDescent="0.3">
      <c r="A121" s="9">
        <v>9</v>
      </c>
      <c r="B121" s="33" t="s">
        <v>48</v>
      </c>
      <c r="C121" s="33" t="s">
        <v>42</v>
      </c>
      <c r="D121" s="33">
        <v>2</v>
      </c>
      <c r="E121" s="33">
        <v>2</v>
      </c>
      <c r="F121" s="33">
        <v>7</v>
      </c>
      <c r="G121" s="33">
        <v>326</v>
      </c>
      <c r="H121" s="33">
        <v>4</v>
      </c>
      <c r="I121" s="33">
        <v>1</v>
      </c>
      <c r="J121" s="33">
        <v>2</v>
      </c>
      <c r="K121" s="33">
        <v>7</v>
      </c>
      <c r="L121" s="33">
        <v>0</v>
      </c>
      <c r="M121" s="33">
        <v>2941</v>
      </c>
      <c r="N121" s="33">
        <v>1</v>
      </c>
      <c r="O121" s="33">
        <v>1</v>
      </c>
      <c r="P121" s="9">
        <v>0</v>
      </c>
      <c r="Q121" s="10"/>
      <c r="R121" s="11">
        <v>320000</v>
      </c>
      <c r="S121" s="11">
        <v>320000</v>
      </c>
      <c r="T121" s="11">
        <v>305000</v>
      </c>
      <c r="U121" s="11">
        <v>46694</v>
      </c>
      <c r="V121" s="11">
        <v>98503.86</v>
      </c>
      <c r="W121" s="11">
        <v>0</v>
      </c>
      <c r="X121" s="31">
        <v>0</v>
      </c>
      <c r="Y121" s="41">
        <f t="shared" si="36"/>
        <v>221496.14</v>
      </c>
      <c r="Z121" s="42">
        <v>0</v>
      </c>
      <c r="AA121" s="42"/>
      <c r="AB121" s="43">
        <f t="shared" si="37"/>
        <v>0</v>
      </c>
      <c r="AC121" s="43">
        <f t="shared" si="38"/>
        <v>46694</v>
      </c>
    </row>
    <row r="122" spans="1:29" s="2" customFormat="1" ht="18.75" x14ac:dyDescent="0.3">
      <c r="A122" s="9">
        <v>9</v>
      </c>
      <c r="B122" s="33" t="s">
        <v>48</v>
      </c>
      <c r="C122" s="33" t="s">
        <v>42</v>
      </c>
      <c r="D122" s="33">
        <v>2</v>
      </c>
      <c r="E122" s="33">
        <v>2</v>
      </c>
      <c r="F122" s="33">
        <v>7</v>
      </c>
      <c r="G122" s="33">
        <v>326</v>
      </c>
      <c r="H122" s="33">
        <v>4</v>
      </c>
      <c r="I122" s="33">
        <v>1</v>
      </c>
      <c r="J122" s="33">
        <v>2</v>
      </c>
      <c r="K122" s="33">
        <v>7</v>
      </c>
      <c r="L122" s="33">
        <v>0</v>
      </c>
      <c r="M122" s="33">
        <v>2961</v>
      </c>
      <c r="N122" s="33">
        <v>1</v>
      </c>
      <c r="O122" s="33">
        <v>1</v>
      </c>
      <c r="P122" s="9">
        <v>0</v>
      </c>
      <c r="Q122" s="12"/>
      <c r="R122" s="11">
        <v>30000</v>
      </c>
      <c r="S122" s="11">
        <v>30000</v>
      </c>
      <c r="T122" s="11">
        <v>30000</v>
      </c>
      <c r="U122" s="11">
        <v>0</v>
      </c>
      <c r="V122" s="11">
        <v>21615.58</v>
      </c>
      <c r="W122" s="11">
        <v>0</v>
      </c>
      <c r="X122" s="31">
        <v>0</v>
      </c>
      <c r="Y122" s="41">
        <f t="shared" si="36"/>
        <v>8384.4199999999983</v>
      </c>
      <c r="Z122" s="42">
        <v>0</v>
      </c>
      <c r="AA122" s="11"/>
      <c r="AB122" s="43">
        <f t="shared" si="37"/>
        <v>0</v>
      </c>
      <c r="AC122" s="43">
        <f t="shared" si="38"/>
        <v>0</v>
      </c>
    </row>
    <row r="123" spans="1:29" ht="18.75" x14ac:dyDescent="0.3">
      <c r="A123" s="33"/>
      <c r="B123" s="33"/>
      <c r="C123" s="33"/>
      <c r="D123" s="9"/>
      <c r="E123" s="9"/>
      <c r="F123" s="9"/>
      <c r="G123" s="9"/>
      <c r="H123" s="9"/>
      <c r="I123" s="9"/>
      <c r="J123" s="9"/>
      <c r="K123" s="9"/>
      <c r="L123" s="9"/>
      <c r="M123" s="9"/>
      <c r="N123" s="175" t="s">
        <v>14</v>
      </c>
      <c r="O123" s="175"/>
      <c r="P123" s="175"/>
      <c r="Q123" s="175"/>
      <c r="R123" s="26">
        <f t="shared" ref="R123:V123" si="39">SUM(R104:R122)</f>
        <v>1193600</v>
      </c>
      <c r="S123" s="26">
        <f t="shared" si="39"/>
        <v>1193600</v>
      </c>
      <c r="T123" s="26">
        <f t="shared" si="39"/>
        <v>1050326</v>
      </c>
      <c r="U123" s="26">
        <f t="shared" si="39"/>
        <v>174494.8</v>
      </c>
      <c r="V123" s="26">
        <f t="shared" si="39"/>
        <v>645629.93999999994</v>
      </c>
      <c r="W123" s="26">
        <f>SUM(W104:W122)</f>
        <v>0</v>
      </c>
      <c r="X123" s="38">
        <f>SUM(X104:X122)</f>
        <v>210090.78999999998</v>
      </c>
      <c r="Y123" s="44">
        <f>SUM(Y104:Y122)</f>
        <v>337879.26999999996</v>
      </c>
      <c r="Z123" s="44">
        <f t="shared" ref="Z123:AC123" si="40">SUM(Z104:Z122)</f>
        <v>215931.96999999997</v>
      </c>
      <c r="AA123" s="44">
        <f t="shared" ref="AA123" si="41">SUM(AA104:AA122)</f>
        <v>119634</v>
      </c>
      <c r="AB123" s="44">
        <f t="shared" ref="AB123" si="42">SUM(AB104:AB122)</f>
        <v>125475.18</v>
      </c>
      <c r="AC123" s="44">
        <f t="shared" si="40"/>
        <v>49019.62</v>
      </c>
    </row>
    <row r="124" spans="1:29" ht="18.75" x14ac:dyDescent="0.3">
      <c r="A124" s="9">
        <v>9</v>
      </c>
      <c r="B124" s="33" t="s">
        <v>48</v>
      </c>
      <c r="C124" s="33" t="s">
        <v>42</v>
      </c>
      <c r="D124" s="33">
        <v>2</v>
      </c>
      <c r="E124" s="33">
        <v>2</v>
      </c>
      <c r="F124" s="33">
        <v>7</v>
      </c>
      <c r="G124" s="33">
        <v>326</v>
      </c>
      <c r="H124" s="33">
        <v>4</v>
      </c>
      <c r="I124" s="33">
        <v>1</v>
      </c>
      <c r="J124" s="33">
        <v>2</v>
      </c>
      <c r="K124" s="33">
        <v>7</v>
      </c>
      <c r="L124" s="33">
        <v>0</v>
      </c>
      <c r="M124" s="33">
        <v>3112</v>
      </c>
      <c r="N124" s="33">
        <v>1</v>
      </c>
      <c r="O124" s="33">
        <v>1</v>
      </c>
      <c r="P124" s="9">
        <v>0</v>
      </c>
      <c r="Q124" s="10"/>
      <c r="R124" s="11">
        <v>400000</v>
      </c>
      <c r="S124" s="11">
        <v>400000</v>
      </c>
      <c r="T124" s="11">
        <v>400000</v>
      </c>
      <c r="U124" s="11">
        <v>0</v>
      </c>
      <c r="V124" s="11">
        <v>99999</v>
      </c>
      <c r="W124" s="11">
        <v>0</v>
      </c>
      <c r="X124" s="31">
        <v>300001</v>
      </c>
      <c r="Y124" s="41">
        <f t="shared" ref="Y124:Y150" si="43">+S124-V124-X124-W124</f>
        <v>0</v>
      </c>
      <c r="Z124" s="50">
        <v>300001</v>
      </c>
      <c r="AA124" s="50"/>
      <c r="AB124" s="43">
        <f t="shared" ref="AB124:AB150" si="44">+Z124-X124+AA124-W124</f>
        <v>0</v>
      </c>
      <c r="AC124" s="43">
        <f t="shared" ref="AC124:AC150" si="45">+U124-AB124</f>
        <v>0</v>
      </c>
    </row>
    <row r="125" spans="1:29" ht="18.75" x14ac:dyDescent="0.3">
      <c r="A125" s="9">
        <v>9</v>
      </c>
      <c r="B125" s="33" t="s">
        <v>48</v>
      </c>
      <c r="C125" s="33" t="s">
        <v>42</v>
      </c>
      <c r="D125" s="33">
        <v>2</v>
      </c>
      <c r="E125" s="33">
        <v>2</v>
      </c>
      <c r="F125" s="33">
        <v>7</v>
      </c>
      <c r="G125" s="33">
        <v>326</v>
      </c>
      <c r="H125" s="33">
        <v>4</v>
      </c>
      <c r="I125" s="33">
        <v>1</v>
      </c>
      <c r="J125" s="33">
        <v>2</v>
      </c>
      <c r="K125" s="33">
        <v>7</v>
      </c>
      <c r="L125" s="33">
        <v>0</v>
      </c>
      <c r="M125" s="33">
        <v>3131</v>
      </c>
      <c r="N125" s="33">
        <v>1</v>
      </c>
      <c r="O125" s="33">
        <v>1</v>
      </c>
      <c r="P125" s="9">
        <v>0</v>
      </c>
      <c r="Q125" s="10"/>
      <c r="R125" s="11">
        <v>90000</v>
      </c>
      <c r="S125" s="11">
        <v>90000</v>
      </c>
      <c r="T125" s="11">
        <v>67500</v>
      </c>
      <c r="U125" s="11">
        <v>7365</v>
      </c>
      <c r="V125" s="11">
        <v>34406</v>
      </c>
      <c r="W125" s="11">
        <v>0</v>
      </c>
      <c r="X125" s="31">
        <v>55594</v>
      </c>
      <c r="Y125" s="41">
        <f t="shared" si="43"/>
        <v>0</v>
      </c>
      <c r="Z125" s="50">
        <v>62959</v>
      </c>
      <c r="AA125" s="50"/>
      <c r="AB125" s="43">
        <f t="shared" si="44"/>
        <v>7365</v>
      </c>
      <c r="AC125" s="43">
        <f t="shared" si="45"/>
        <v>0</v>
      </c>
    </row>
    <row r="126" spans="1:29" ht="18.75" x14ac:dyDescent="0.3">
      <c r="A126" s="9">
        <v>9</v>
      </c>
      <c r="B126" s="33" t="s">
        <v>48</v>
      </c>
      <c r="C126" s="33" t="s">
        <v>42</v>
      </c>
      <c r="D126" s="33">
        <v>2</v>
      </c>
      <c r="E126" s="33">
        <v>2</v>
      </c>
      <c r="F126" s="33">
        <v>7</v>
      </c>
      <c r="G126" s="33">
        <v>326</v>
      </c>
      <c r="H126" s="33">
        <v>4</v>
      </c>
      <c r="I126" s="33">
        <v>1</v>
      </c>
      <c r="J126" s="33">
        <v>2</v>
      </c>
      <c r="K126" s="33">
        <v>7</v>
      </c>
      <c r="L126" s="33">
        <v>0</v>
      </c>
      <c r="M126" s="33">
        <v>3141</v>
      </c>
      <c r="N126" s="33">
        <v>1</v>
      </c>
      <c r="O126" s="33">
        <v>1</v>
      </c>
      <c r="P126" s="9">
        <v>22</v>
      </c>
      <c r="Q126" s="10"/>
      <c r="R126" s="11">
        <v>950000</v>
      </c>
      <c r="S126" s="11">
        <v>950000</v>
      </c>
      <c r="T126" s="11">
        <v>712503</v>
      </c>
      <c r="U126" s="11">
        <v>0</v>
      </c>
      <c r="V126" s="11">
        <v>109631.15999999999</v>
      </c>
      <c r="W126" s="11">
        <v>0</v>
      </c>
      <c r="X126" s="31">
        <v>240368.84000000003</v>
      </c>
      <c r="Y126" s="41">
        <f t="shared" si="43"/>
        <v>600000</v>
      </c>
      <c r="Z126" s="50">
        <v>240368.84000000003</v>
      </c>
      <c r="AA126" s="50"/>
      <c r="AB126" s="43">
        <f t="shared" si="44"/>
        <v>0</v>
      </c>
      <c r="AC126" s="43">
        <f t="shared" si="45"/>
        <v>0</v>
      </c>
    </row>
    <row r="127" spans="1:29" ht="18.75" x14ac:dyDescent="0.3">
      <c r="A127" s="9">
        <v>9</v>
      </c>
      <c r="B127" s="33" t="s">
        <v>48</v>
      </c>
      <c r="C127" s="33" t="s">
        <v>42</v>
      </c>
      <c r="D127" s="33">
        <v>2</v>
      </c>
      <c r="E127" s="33">
        <v>2</v>
      </c>
      <c r="F127" s="33">
        <v>7</v>
      </c>
      <c r="G127" s="33">
        <v>326</v>
      </c>
      <c r="H127" s="33">
        <v>4</v>
      </c>
      <c r="I127" s="33">
        <v>1</v>
      </c>
      <c r="J127" s="33">
        <v>2</v>
      </c>
      <c r="K127" s="33">
        <v>7</v>
      </c>
      <c r="L127" s="33">
        <v>0</v>
      </c>
      <c r="M127" s="33">
        <v>3171</v>
      </c>
      <c r="N127" s="33">
        <v>1</v>
      </c>
      <c r="O127" s="33">
        <v>1</v>
      </c>
      <c r="P127" s="9">
        <v>0</v>
      </c>
      <c r="Q127" s="10"/>
      <c r="R127" s="11">
        <v>270000</v>
      </c>
      <c r="S127" s="11">
        <v>270000</v>
      </c>
      <c r="T127" s="11">
        <v>202500</v>
      </c>
      <c r="U127" s="11">
        <v>0</v>
      </c>
      <c r="V127" s="11">
        <v>121324.92000000001</v>
      </c>
      <c r="W127" s="11">
        <v>0</v>
      </c>
      <c r="X127" s="31">
        <v>148675.07999999999</v>
      </c>
      <c r="Y127" s="41">
        <f t="shared" si="43"/>
        <v>0</v>
      </c>
      <c r="Z127" s="50">
        <v>148675.07999999999</v>
      </c>
      <c r="AA127" s="50"/>
      <c r="AB127" s="43">
        <f t="shared" si="44"/>
        <v>0</v>
      </c>
      <c r="AC127" s="43">
        <f t="shared" si="45"/>
        <v>0</v>
      </c>
    </row>
    <row r="128" spans="1:29" ht="18.75" x14ac:dyDescent="0.3">
      <c r="A128" s="9">
        <v>9</v>
      </c>
      <c r="B128" s="33" t="s">
        <v>48</v>
      </c>
      <c r="C128" s="33" t="s">
        <v>42</v>
      </c>
      <c r="D128" s="33">
        <v>2</v>
      </c>
      <c r="E128" s="33">
        <v>2</v>
      </c>
      <c r="F128" s="33">
        <v>7</v>
      </c>
      <c r="G128" s="33">
        <v>326</v>
      </c>
      <c r="H128" s="33">
        <v>4</v>
      </c>
      <c r="I128" s="33">
        <v>1</v>
      </c>
      <c r="J128" s="33">
        <v>2</v>
      </c>
      <c r="K128" s="33">
        <v>7</v>
      </c>
      <c r="L128" s="33">
        <v>0</v>
      </c>
      <c r="M128" s="33">
        <v>3181</v>
      </c>
      <c r="N128" s="33">
        <v>1</v>
      </c>
      <c r="O128" s="33">
        <v>1</v>
      </c>
      <c r="P128" s="9">
        <v>0</v>
      </c>
      <c r="Q128" s="10"/>
      <c r="R128" s="11">
        <v>1500000</v>
      </c>
      <c r="S128" s="11">
        <v>1500000</v>
      </c>
      <c r="T128" s="11">
        <v>1118866</v>
      </c>
      <c r="U128" s="11">
        <v>104666.12</v>
      </c>
      <c r="V128" s="11">
        <v>997489.22000000009</v>
      </c>
      <c r="W128" s="11">
        <v>0</v>
      </c>
      <c r="X128" s="31">
        <v>0</v>
      </c>
      <c r="Y128" s="41">
        <f t="shared" si="43"/>
        <v>502510.77999999991</v>
      </c>
      <c r="Z128" s="50">
        <v>0</v>
      </c>
      <c r="AA128" s="50"/>
      <c r="AB128" s="43">
        <f t="shared" si="44"/>
        <v>0</v>
      </c>
      <c r="AC128" s="43">
        <f t="shared" si="45"/>
        <v>104666.12</v>
      </c>
    </row>
    <row r="129" spans="1:29" ht="18.75" x14ac:dyDescent="0.3">
      <c r="A129" s="9">
        <v>9</v>
      </c>
      <c r="B129" s="33" t="s">
        <v>48</v>
      </c>
      <c r="C129" s="33" t="s">
        <v>42</v>
      </c>
      <c r="D129" s="33">
        <v>2</v>
      </c>
      <c r="E129" s="33">
        <v>2</v>
      </c>
      <c r="F129" s="33">
        <v>7</v>
      </c>
      <c r="G129" s="33">
        <v>326</v>
      </c>
      <c r="H129" s="33">
        <v>4</v>
      </c>
      <c r="I129" s="33">
        <v>1</v>
      </c>
      <c r="J129" s="33">
        <v>2</v>
      </c>
      <c r="K129" s="33">
        <v>7</v>
      </c>
      <c r="L129" s="33">
        <v>0</v>
      </c>
      <c r="M129" s="33">
        <v>3221</v>
      </c>
      <c r="N129" s="33">
        <v>1</v>
      </c>
      <c r="O129" s="33">
        <v>1</v>
      </c>
      <c r="P129" s="9">
        <v>0</v>
      </c>
      <c r="Q129" s="10"/>
      <c r="R129" s="11">
        <v>2106000</v>
      </c>
      <c r="S129" s="11">
        <v>3404033.1</v>
      </c>
      <c r="T129" s="11">
        <v>2485916.1</v>
      </c>
      <c r="U129" s="11">
        <v>238716.85</v>
      </c>
      <c r="V129" s="11">
        <v>1916943.7999999998</v>
      </c>
      <c r="W129" s="11">
        <v>0</v>
      </c>
      <c r="X129" s="31">
        <v>1083162.3999999999</v>
      </c>
      <c r="Y129" s="41">
        <f t="shared" si="43"/>
        <v>403926.90000000037</v>
      </c>
      <c r="Z129" s="50">
        <v>1321879.25</v>
      </c>
      <c r="AA129" s="50"/>
      <c r="AB129" s="43">
        <f t="shared" si="44"/>
        <v>238716.85000000009</v>
      </c>
      <c r="AC129" s="43">
        <f t="shared" si="45"/>
        <v>0</v>
      </c>
    </row>
    <row r="130" spans="1:29" ht="18.75" x14ac:dyDescent="0.3">
      <c r="A130" s="9">
        <v>9</v>
      </c>
      <c r="B130" s="33" t="s">
        <v>48</v>
      </c>
      <c r="C130" s="33" t="s">
        <v>42</v>
      </c>
      <c r="D130" s="33">
        <v>2</v>
      </c>
      <c r="E130" s="33">
        <v>2</v>
      </c>
      <c r="F130" s="33">
        <v>7</v>
      </c>
      <c r="G130" s="33">
        <v>326</v>
      </c>
      <c r="H130" s="33">
        <v>4</v>
      </c>
      <c r="I130" s="33">
        <v>1</v>
      </c>
      <c r="J130" s="33">
        <v>2</v>
      </c>
      <c r="K130" s="33">
        <v>7</v>
      </c>
      <c r="L130" s="33">
        <v>0</v>
      </c>
      <c r="M130" s="33">
        <v>3311</v>
      </c>
      <c r="N130" s="33">
        <v>1</v>
      </c>
      <c r="O130" s="33">
        <v>1</v>
      </c>
      <c r="P130" s="9">
        <v>0</v>
      </c>
      <c r="Q130" s="10"/>
      <c r="R130" s="11">
        <v>30000</v>
      </c>
      <c r="S130" s="11">
        <v>30000</v>
      </c>
      <c r="T130" s="11">
        <v>0</v>
      </c>
      <c r="U130" s="11">
        <v>0</v>
      </c>
      <c r="V130" s="11">
        <v>0</v>
      </c>
      <c r="W130" s="11">
        <v>0</v>
      </c>
      <c r="X130" s="31">
        <v>0</v>
      </c>
      <c r="Y130" s="41">
        <f t="shared" si="43"/>
        <v>30000</v>
      </c>
      <c r="Z130" s="50">
        <v>0</v>
      </c>
      <c r="AA130" s="50"/>
      <c r="AB130" s="43">
        <f t="shared" si="44"/>
        <v>0</v>
      </c>
      <c r="AC130" s="43">
        <f t="shared" si="45"/>
        <v>0</v>
      </c>
    </row>
    <row r="131" spans="1:29" ht="18.75" x14ac:dyDescent="0.3">
      <c r="A131" s="9">
        <v>9</v>
      </c>
      <c r="B131" s="33" t="s">
        <v>48</v>
      </c>
      <c r="C131" s="33" t="s">
        <v>42</v>
      </c>
      <c r="D131" s="33">
        <v>2</v>
      </c>
      <c r="E131" s="33">
        <v>2</v>
      </c>
      <c r="F131" s="33">
        <v>7</v>
      </c>
      <c r="G131" s="33">
        <v>326</v>
      </c>
      <c r="H131" s="33">
        <v>4</v>
      </c>
      <c r="I131" s="33">
        <v>1</v>
      </c>
      <c r="J131" s="33">
        <v>2</v>
      </c>
      <c r="K131" s="33">
        <v>7</v>
      </c>
      <c r="L131" s="33">
        <v>0</v>
      </c>
      <c r="M131" s="33">
        <v>3331</v>
      </c>
      <c r="N131" s="33">
        <v>1</v>
      </c>
      <c r="O131" s="33">
        <v>1</v>
      </c>
      <c r="P131" s="9">
        <v>0</v>
      </c>
      <c r="Q131" s="10"/>
      <c r="R131" s="11">
        <v>400000</v>
      </c>
      <c r="S131" s="11">
        <v>400000</v>
      </c>
      <c r="T131" s="11">
        <v>400000</v>
      </c>
      <c r="U131" s="11">
        <v>0</v>
      </c>
      <c r="V131" s="11">
        <v>1800</v>
      </c>
      <c r="W131" s="11">
        <v>0</v>
      </c>
      <c r="X131" s="31">
        <v>232500</v>
      </c>
      <c r="Y131" s="41">
        <f t="shared" si="43"/>
        <v>165700</v>
      </c>
      <c r="Z131" s="50">
        <v>232500</v>
      </c>
      <c r="AA131" s="50"/>
      <c r="AB131" s="43">
        <f t="shared" ref="AB131" si="46">+Z131-X131+AA131-W131</f>
        <v>0</v>
      </c>
      <c r="AC131" s="43">
        <f t="shared" ref="AC131" si="47">+U131-AB131</f>
        <v>0</v>
      </c>
    </row>
    <row r="132" spans="1:29" ht="18.75" x14ac:dyDescent="0.3">
      <c r="A132" s="9">
        <v>9</v>
      </c>
      <c r="B132" s="33" t="s">
        <v>48</v>
      </c>
      <c r="C132" s="33" t="s">
        <v>42</v>
      </c>
      <c r="D132" s="33">
        <v>2</v>
      </c>
      <c r="E132" s="33">
        <v>2</v>
      </c>
      <c r="F132" s="33">
        <v>7</v>
      </c>
      <c r="G132" s="33">
        <v>326</v>
      </c>
      <c r="H132" s="33">
        <v>4</v>
      </c>
      <c r="I132" s="33">
        <v>1</v>
      </c>
      <c r="J132" s="33">
        <v>2</v>
      </c>
      <c r="K132" s="33">
        <v>7</v>
      </c>
      <c r="L132" s="33">
        <v>0</v>
      </c>
      <c r="M132" s="33">
        <v>3341</v>
      </c>
      <c r="N132" s="33">
        <v>1</v>
      </c>
      <c r="O132" s="33">
        <v>1</v>
      </c>
      <c r="P132" s="9">
        <v>0</v>
      </c>
      <c r="Q132" s="10"/>
      <c r="R132" s="11">
        <v>75000</v>
      </c>
      <c r="S132" s="11">
        <v>75000</v>
      </c>
      <c r="T132" s="11">
        <v>75000</v>
      </c>
      <c r="U132" s="11">
        <v>0</v>
      </c>
      <c r="V132" s="11">
        <v>50000</v>
      </c>
      <c r="W132" s="11">
        <v>0</v>
      </c>
      <c r="X132" s="31">
        <v>0</v>
      </c>
      <c r="Y132" s="41">
        <f t="shared" si="43"/>
        <v>25000</v>
      </c>
      <c r="Z132" s="50">
        <v>0</v>
      </c>
      <c r="AA132" s="50"/>
      <c r="AB132" s="43">
        <f t="shared" si="44"/>
        <v>0</v>
      </c>
      <c r="AC132" s="43">
        <f t="shared" si="45"/>
        <v>0</v>
      </c>
    </row>
    <row r="133" spans="1:29" ht="18.75" x14ac:dyDescent="0.3">
      <c r="A133" s="9">
        <v>9</v>
      </c>
      <c r="B133" s="33" t="s">
        <v>48</v>
      </c>
      <c r="C133" s="33" t="s">
        <v>42</v>
      </c>
      <c r="D133" s="33">
        <v>2</v>
      </c>
      <c r="E133" s="33">
        <v>2</v>
      </c>
      <c r="F133" s="33">
        <v>7</v>
      </c>
      <c r="G133" s="33">
        <v>326</v>
      </c>
      <c r="H133" s="33">
        <v>4</v>
      </c>
      <c r="I133" s="33">
        <v>1</v>
      </c>
      <c r="J133" s="33">
        <v>2</v>
      </c>
      <c r="K133" s="33">
        <v>7</v>
      </c>
      <c r="L133" s="33">
        <v>0</v>
      </c>
      <c r="M133" s="33">
        <v>3361</v>
      </c>
      <c r="N133" s="33">
        <v>1</v>
      </c>
      <c r="O133" s="33">
        <v>1</v>
      </c>
      <c r="P133" s="9">
        <v>0</v>
      </c>
      <c r="Q133" s="10"/>
      <c r="R133" s="11">
        <v>600000</v>
      </c>
      <c r="S133" s="11">
        <v>600000</v>
      </c>
      <c r="T133" s="11">
        <v>450000</v>
      </c>
      <c r="U133" s="11">
        <v>30851.46</v>
      </c>
      <c r="V133" s="11">
        <v>131760.06</v>
      </c>
      <c r="W133" s="11">
        <v>0</v>
      </c>
      <c r="X133" s="31">
        <v>468239.94000000006</v>
      </c>
      <c r="Y133" s="41">
        <f t="shared" si="43"/>
        <v>-5.8207660913467407E-11</v>
      </c>
      <c r="Z133" s="50">
        <v>499091.4</v>
      </c>
      <c r="AA133" s="50"/>
      <c r="AB133" s="43">
        <f t="shared" si="44"/>
        <v>30851.459999999963</v>
      </c>
      <c r="AC133" s="43">
        <f t="shared" si="45"/>
        <v>3.637978807091713E-11</v>
      </c>
    </row>
    <row r="134" spans="1:29" ht="18.75" x14ac:dyDescent="0.3">
      <c r="A134" s="9">
        <v>9</v>
      </c>
      <c r="B134" s="33" t="s">
        <v>48</v>
      </c>
      <c r="C134" s="33" t="s">
        <v>42</v>
      </c>
      <c r="D134" s="33">
        <v>2</v>
      </c>
      <c r="E134" s="33">
        <v>2</v>
      </c>
      <c r="F134" s="33">
        <v>7</v>
      </c>
      <c r="G134" s="33">
        <v>326</v>
      </c>
      <c r="H134" s="33">
        <v>4</v>
      </c>
      <c r="I134" s="33">
        <v>1</v>
      </c>
      <c r="J134" s="33">
        <v>2</v>
      </c>
      <c r="K134" s="33">
        <v>7</v>
      </c>
      <c r="L134" s="33">
        <v>0</v>
      </c>
      <c r="M134" s="33">
        <v>3362</v>
      </c>
      <c r="N134" s="33">
        <v>1</v>
      </c>
      <c r="O134" s="33">
        <v>1</v>
      </c>
      <c r="P134" s="9">
        <v>0</v>
      </c>
      <c r="Q134" s="10"/>
      <c r="R134" s="11">
        <v>450000</v>
      </c>
      <c r="S134" s="11">
        <v>450000</v>
      </c>
      <c r="T134" s="11">
        <v>337500</v>
      </c>
      <c r="U134" s="11">
        <v>0</v>
      </c>
      <c r="V134" s="11">
        <v>40632.959999999999</v>
      </c>
      <c r="W134" s="11">
        <v>0</v>
      </c>
      <c r="X134" s="31">
        <v>0</v>
      </c>
      <c r="Y134" s="41">
        <f t="shared" si="43"/>
        <v>409367.03999999998</v>
      </c>
      <c r="Z134" s="50">
        <v>0</v>
      </c>
      <c r="AA134" s="50"/>
      <c r="AB134" s="43">
        <f t="shared" si="44"/>
        <v>0</v>
      </c>
      <c r="AC134" s="43">
        <f t="shared" si="45"/>
        <v>0</v>
      </c>
    </row>
    <row r="135" spans="1:29" ht="18.75" x14ac:dyDescent="0.3">
      <c r="A135" s="9">
        <v>9</v>
      </c>
      <c r="B135" s="33" t="s">
        <v>48</v>
      </c>
      <c r="C135" s="33" t="s">
        <v>42</v>
      </c>
      <c r="D135" s="33">
        <v>2</v>
      </c>
      <c r="E135" s="33">
        <v>2</v>
      </c>
      <c r="F135" s="33">
        <v>7</v>
      </c>
      <c r="G135" s="33">
        <v>326</v>
      </c>
      <c r="H135" s="33">
        <v>4</v>
      </c>
      <c r="I135" s="33">
        <v>1</v>
      </c>
      <c r="J135" s="33">
        <v>2</v>
      </c>
      <c r="K135" s="33">
        <v>7</v>
      </c>
      <c r="L135" s="33">
        <v>0</v>
      </c>
      <c r="M135" s="33">
        <v>3381</v>
      </c>
      <c r="N135" s="33">
        <v>1</v>
      </c>
      <c r="O135" s="33">
        <v>1</v>
      </c>
      <c r="P135" s="9">
        <v>0</v>
      </c>
      <c r="Q135" s="10"/>
      <c r="R135" s="11">
        <v>275040</v>
      </c>
      <c r="S135" s="11">
        <v>275040</v>
      </c>
      <c r="T135" s="11">
        <v>206280</v>
      </c>
      <c r="U135" s="11">
        <v>21078.22</v>
      </c>
      <c r="V135" s="11">
        <v>164687.46000000002</v>
      </c>
      <c r="W135" s="11">
        <v>0</v>
      </c>
      <c r="X135" s="31">
        <v>110352.54000000001</v>
      </c>
      <c r="Y135" s="41">
        <f t="shared" si="43"/>
        <v>-2.9103830456733704E-11</v>
      </c>
      <c r="Z135" s="50">
        <v>131430.76</v>
      </c>
      <c r="AA135" s="50"/>
      <c r="AB135" s="43">
        <f t="shared" si="44"/>
        <v>21078.22</v>
      </c>
      <c r="AC135" s="43">
        <f t="shared" si="45"/>
        <v>0</v>
      </c>
    </row>
    <row r="136" spans="1:29" ht="18.75" x14ac:dyDescent="0.3">
      <c r="A136" s="9">
        <v>9</v>
      </c>
      <c r="B136" s="33" t="s">
        <v>48</v>
      </c>
      <c r="C136" s="33" t="s">
        <v>42</v>
      </c>
      <c r="D136" s="33">
        <v>2</v>
      </c>
      <c r="E136" s="33">
        <v>2</v>
      </c>
      <c r="F136" s="33">
        <v>7</v>
      </c>
      <c r="G136" s="33">
        <v>326</v>
      </c>
      <c r="H136" s="33">
        <v>4</v>
      </c>
      <c r="I136" s="33">
        <v>1</v>
      </c>
      <c r="J136" s="33">
        <v>2</v>
      </c>
      <c r="K136" s="33">
        <v>7</v>
      </c>
      <c r="L136" s="33">
        <v>0</v>
      </c>
      <c r="M136" s="33">
        <v>3411</v>
      </c>
      <c r="N136" s="33">
        <v>1</v>
      </c>
      <c r="O136" s="33">
        <v>1</v>
      </c>
      <c r="P136" s="9">
        <v>0</v>
      </c>
      <c r="Q136" s="10"/>
      <c r="R136" s="11">
        <v>12808743</v>
      </c>
      <c r="S136" s="11">
        <v>11490709.9</v>
      </c>
      <c r="T136" s="11">
        <v>9078004.9000000004</v>
      </c>
      <c r="U136" s="11">
        <v>756645.78</v>
      </c>
      <c r="V136" s="11">
        <v>6962572.6700000009</v>
      </c>
      <c r="W136" s="11">
        <v>1504</v>
      </c>
      <c r="X136" s="31">
        <v>0</v>
      </c>
      <c r="Y136" s="41">
        <f t="shared" si="43"/>
        <v>4526633.2299999995</v>
      </c>
      <c r="Z136" s="50">
        <v>0</v>
      </c>
      <c r="AA136" s="50"/>
      <c r="AB136" s="43">
        <f t="shared" si="44"/>
        <v>-1504</v>
      </c>
      <c r="AC136" s="43">
        <f t="shared" si="45"/>
        <v>758149.78</v>
      </c>
    </row>
    <row r="137" spans="1:29" ht="18.75" x14ac:dyDescent="0.3">
      <c r="A137" s="9">
        <v>9</v>
      </c>
      <c r="B137" s="33" t="s">
        <v>48</v>
      </c>
      <c r="C137" s="33" t="s">
        <v>42</v>
      </c>
      <c r="D137" s="33">
        <v>2</v>
      </c>
      <c r="E137" s="33">
        <v>2</v>
      </c>
      <c r="F137" s="33">
        <v>7</v>
      </c>
      <c r="G137" s="33">
        <v>326</v>
      </c>
      <c r="H137" s="33">
        <v>4</v>
      </c>
      <c r="I137" s="33">
        <v>1</v>
      </c>
      <c r="J137" s="33">
        <v>2</v>
      </c>
      <c r="K137" s="33">
        <v>7</v>
      </c>
      <c r="L137" s="33">
        <v>0</v>
      </c>
      <c r="M137" s="33">
        <v>3431</v>
      </c>
      <c r="N137" s="33">
        <v>1</v>
      </c>
      <c r="O137" s="33">
        <v>1</v>
      </c>
      <c r="P137" s="9">
        <v>0</v>
      </c>
      <c r="Q137" s="10"/>
      <c r="R137" s="11">
        <v>3868200</v>
      </c>
      <c r="S137" s="11">
        <v>3868200</v>
      </c>
      <c r="T137" s="11">
        <v>2901150</v>
      </c>
      <c r="U137" s="11">
        <v>0</v>
      </c>
      <c r="V137" s="11">
        <v>2398264.12</v>
      </c>
      <c r="W137" s="11">
        <v>0</v>
      </c>
      <c r="X137" s="31">
        <v>1469935.8799999997</v>
      </c>
      <c r="Y137" s="41">
        <f t="shared" si="43"/>
        <v>2.3283064365386963E-10</v>
      </c>
      <c r="Z137" s="50">
        <v>1469935.8799999997</v>
      </c>
      <c r="AA137" s="50"/>
      <c r="AB137" s="43">
        <f t="shared" si="44"/>
        <v>0</v>
      </c>
      <c r="AC137" s="43">
        <f t="shared" si="45"/>
        <v>0</v>
      </c>
    </row>
    <row r="138" spans="1:29" ht="18.75" x14ac:dyDescent="0.3">
      <c r="A138" s="9">
        <v>9</v>
      </c>
      <c r="B138" s="33" t="s">
        <v>48</v>
      </c>
      <c r="C138" s="33" t="s">
        <v>42</v>
      </c>
      <c r="D138" s="33">
        <v>2</v>
      </c>
      <c r="E138" s="33">
        <v>2</v>
      </c>
      <c r="F138" s="33">
        <v>7</v>
      </c>
      <c r="G138" s="33">
        <v>326</v>
      </c>
      <c r="H138" s="33">
        <v>4</v>
      </c>
      <c r="I138" s="33">
        <v>1</v>
      </c>
      <c r="J138" s="33">
        <v>2</v>
      </c>
      <c r="K138" s="33">
        <v>7</v>
      </c>
      <c r="L138" s="33">
        <v>0</v>
      </c>
      <c r="M138" s="33">
        <v>3451</v>
      </c>
      <c r="N138" s="33">
        <v>1</v>
      </c>
      <c r="O138" s="33">
        <v>1</v>
      </c>
      <c r="P138" s="9">
        <v>0</v>
      </c>
      <c r="Q138" s="10"/>
      <c r="R138" s="11">
        <v>100000</v>
      </c>
      <c r="S138" s="11">
        <v>100000</v>
      </c>
      <c r="T138" s="11">
        <v>74997</v>
      </c>
      <c r="U138" s="11">
        <v>4893.68</v>
      </c>
      <c r="V138" s="11">
        <v>51191.11</v>
      </c>
      <c r="W138" s="11">
        <v>0</v>
      </c>
      <c r="X138" s="31">
        <v>9787.36</v>
      </c>
      <c r="Y138" s="41">
        <f t="shared" si="43"/>
        <v>39021.53</v>
      </c>
      <c r="Z138" s="50">
        <v>14681.04</v>
      </c>
      <c r="AA138" s="50"/>
      <c r="AB138" s="43">
        <f t="shared" si="44"/>
        <v>4893.68</v>
      </c>
      <c r="AC138" s="43">
        <f t="shared" si="45"/>
        <v>0</v>
      </c>
    </row>
    <row r="139" spans="1:29" ht="18.75" x14ac:dyDescent="0.3">
      <c r="A139" s="9">
        <v>9</v>
      </c>
      <c r="B139" s="33" t="s">
        <v>48</v>
      </c>
      <c r="C139" s="33" t="s">
        <v>42</v>
      </c>
      <c r="D139" s="33">
        <v>2</v>
      </c>
      <c r="E139" s="33">
        <v>2</v>
      </c>
      <c r="F139" s="33">
        <v>7</v>
      </c>
      <c r="G139" s="33">
        <v>326</v>
      </c>
      <c r="H139" s="33">
        <v>4</v>
      </c>
      <c r="I139" s="33">
        <v>1</v>
      </c>
      <c r="J139" s="33">
        <v>2</v>
      </c>
      <c r="K139" s="33">
        <v>7</v>
      </c>
      <c r="L139" s="33">
        <v>0</v>
      </c>
      <c r="M139" s="33">
        <v>3471</v>
      </c>
      <c r="N139" s="33">
        <v>1</v>
      </c>
      <c r="O139" s="33">
        <v>1</v>
      </c>
      <c r="P139" s="9">
        <v>0</v>
      </c>
      <c r="Q139" s="10"/>
      <c r="R139" s="11">
        <v>5000</v>
      </c>
      <c r="S139" s="11">
        <v>5000</v>
      </c>
      <c r="T139" s="11">
        <v>5000</v>
      </c>
      <c r="U139" s="11">
        <v>0</v>
      </c>
      <c r="V139" s="11">
        <v>0</v>
      </c>
      <c r="W139" s="11">
        <v>0</v>
      </c>
      <c r="X139" s="31">
        <v>0</v>
      </c>
      <c r="Y139" s="41">
        <f t="shared" si="43"/>
        <v>5000</v>
      </c>
      <c r="Z139" s="50">
        <v>0</v>
      </c>
      <c r="AA139" s="50"/>
      <c r="AB139" s="43">
        <f t="shared" si="44"/>
        <v>0</v>
      </c>
      <c r="AC139" s="43">
        <f t="shared" si="45"/>
        <v>0</v>
      </c>
    </row>
    <row r="140" spans="1:29" ht="18.75" x14ac:dyDescent="0.3">
      <c r="A140" s="9">
        <v>9</v>
      </c>
      <c r="B140" s="33" t="s">
        <v>48</v>
      </c>
      <c r="C140" s="33" t="s">
        <v>42</v>
      </c>
      <c r="D140" s="33">
        <v>2</v>
      </c>
      <c r="E140" s="33">
        <v>2</v>
      </c>
      <c r="F140" s="33">
        <v>7</v>
      </c>
      <c r="G140" s="33">
        <v>326</v>
      </c>
      <c r="H140" s="33">
        <v>4</v>
      </c>
      <c r="I140" s="33">
        <v>1</v>
      </c>
      <c r="J140" s="33">
        <v>2</v>
      </c>
      <c r="K140" s="33">
        <v>7</v>
      </c>
      <c r="L140" s="33">
        <v>0</v>
      </c>
      <c r="M140" s="33">
        <v>3511</v>
      </c>
      <c r="N140" s="33">
        <v>1</v>
      </c>
      <c r="O140" s="33">
        <v>1</v>
      </c>
      <c r="P140" s="9">
        <v>0</v>
      </c>
      <c r="Q140" s="10"/>
      <c r="R140" s="11">
        <v>100000</v>
      </c>
      <c r="S140" s="11">
        <v>100000</v>
      </c>
      <c r="T140" s="11">
        <v>100000</v>
      </c>
      <c r="U140" s="11">
        <v>0</v>
      </c>
      <c r="V140" s="11">
        <v>50689.65</v>
      </c>
      <c r="W140" s="11">
        <v>0</v>
      </c>
      <c r="X140" s="31">
        <v>24310.35</v>
      </c>
      <c r="Y140" s="41">
        <f t="shared" si="43"/>
        <v>25000</v>
      </c>
      <c r="Z140" s="50">
        <v>24310.35</v>
      </c>
      <c r="AA140" s="50"/>
      <c r="AB140" s="43">
        <f t="shared" si="44"/>
        <v>0</v>
      </c>
      <c r="AC140" s="43">
        <f t="shared" si="45"/>
        <v>0</v>
      </c>
    </row>
    <row r="141" spans="1:29" ht="18.75" x14ac:dyDescent="0.3">
      <c r="A141" s="9">
        <v>9</v>
      </c>
      <c r="B141" s="33" t="s">
        <v>48</v>
      </c>
      <c r="C141" s="33" t="s">
        <v>42</v>
      </c>
      <c r="D141" s="33">
        <v>2</v>
      </c>
      <c r="E141" s="33">
        <v>2</v>
      </c>
      <c r="F141" s="33">
        <v>7</v>
      </c>
      <c r="G141" s="33">
        <v>326</v>
      </c>
      <c r="H141" s="33">
        <v>4</v>
      </c>
      <c r="I141" s="33">
        <v>1</v>
      </c>
      <c r="J141" s="33">
        <v>2</v>
      </c>
      <c r="K141" s="33">
        <v>7</v>
      </c>
      <c r="L141" s="33">
        <v>0</v>
      </c>
      <c r="M141" s="33">
        <v>3531</v>
      </c>
      <c r="N141" s="33">
        <v>1</v>
      </c>
      <c r="O141" s="33">
        <v>1</v>
      </c>
      <c r="P141" s="9">
        <v>0</v>
      </c>
      <c r="Q141" s="10"/>
      <c r="R141" s="11">
        <v>250000</v>
      </c>
      <c r="S141" s="11">
        <v>250000</v>
      </c>
      <c r="T141" s="11">
        <v>187497</v>
      </c>
      <c r="U141" s="11">
        <v>0</v>
      </c>
      <c r="V141" s="11">
        <v>25000</v>
      </c>
      <c r="W141" s="11">
        <v>0</v>
      </c>
      <c r="X141" s="31">
        <v>0</v>
      </c>
      <c r="Y141" s="41">
        <f t="shared" si="43"/>
        <v>225000</v>
      </c>
      <c r="Z141" s="50">
        <v>0</v>
      </c>
      <c r="AA141" s="50"/>
      <c r="AB141" s="43">
        <f t="shared" si="44"/>
        <v>0</v>
      </c>
      <c r="AC141" s="43">
        <f t="shared" si="45"/>
        <v>0</v>
      </c>
    </row>
    <row r="142" spans="1:29" ht="18.75" x14ac:dyDescent="0.3">
      <c r="A142" s="9">
        <v>9</v>
      </c>
      <c r="B142" s="33" t="s">
        <v>48</v>
      </c>
      <c r="C142" s="33" t="s">
        <v>42</v>
      </c>
      <c r="D142" s="33">
        <v>2</v>
      </c>
      <c r="E142" s="33">
        <v>2</v>
      </c>
      <c r="F142" s="33">
        <v>7</v>
      </c>
      <c r="G142" s="33">
        <v>326</v>
      </c>
      <c r="H142" s="33">
        <v>4</v>
      </c>
      <c r="I142" s="33">
        <v>1</v>
      </c>
      <c r="J142" s="33">
        <v>2</v>
      </c>
      <c r="K142" s="33">
        <v>7</v>
      </c>
      <c r="L142" s="33">
        <v>0</v>
      </c>
      <c r="M142" s="33">
        <v>3553</v>
      </c>
      <c r="N142" s="33">
        <v>1</v>
      </c>
      <c r="O142" s="33">
        <v>1</v>
      </c>
      <c r="P142" s="9">
        <v>0</v>
      </c>
      <c r="Q142" s="10"/>
      <c r="R142" s="11">
        <v>200000</v>
      </c>
      <c r="S142" s="11">
        <v>200000</v>
      </c>
      <c r="T142" s="11">
        <v>150300</v>
      </c>
      <c r="U142" s="11">
        <v>17026.259999999998</v>
      </c>
      <c r="V142" s="11">
        <v>60377.409999999989</v>
      </c>
      <c r="W142" s="11">
        <v>0</v>
      </c>
      <c r="X142" s="31">
        <v>120222.59</v>
      </c>
      <c r="Y142" s="41">
        <f t="shared" si="43"/>
        <v>19400.000000000029</v>
      </c>
      <c r="Z142" s="50">
        <v>137248.85</v>
      </c>
      <c r="AA142" s="50"/>
      <c r="AB142" s="43">
        <f t="shared" si="44"/>
        <v>17026.260000000009</v>
      </c>
      <c r="AC142" s="43">
        <f t="shared" si="45"/>
        <v>0</v>
      </c>
    </row>
    <row r="143" spans="1:29" ht="18.75" x14ac:dyDescent="0.3">
      <c r="A143" s="9">
        <v>9</v>
      </c>
      <c r="B143" s="33" t="s">
        <v>48</v>
      </c>
      <c r="C143" s="33" t="s">
        <v>42</v>
      </c>
      <c r="D143" s="33">
        <v>2</v>
      </c>
      <c r="E143" s="33">
        <v>2</v>
      </c>
      <c r="F143" s="33">
        <v>7</v>
      </c>
      <c r="G143" s="33">
        <v>326</v>
      </c>
      <c r="H143" s="33">
        <v>4</v>
      </c>
      <c r="I143" s="33">
        <v>1</v>
      </c>
      <c r="J143" s="33">
        <v>2</v>
      </c>
      <c r="K143" s="33">
        <v>7</v>
      </c>
      <c r="L143" s="33">
        <v>0</v>
      </c>
      <c r="M143" s="33">
        <v>3571</v>
      </c>
      <c r="N143" s="33">
        <v>1</v>
      </c>
      <c r="O143" s="33">
        <v>1</v>
      </c>
      <c r="P143" s="9">
        <v>0</v>
      </c>
      <c r="Q143" s="10"/>
      <c r="R143" s="11">
        <v>30000</v>
      </c>
      <c r="S143" s="11">
        <v>30000</v>
      </c>
      <c r="T143" s="11">
        <v>20000</v>
      </c>
      <c r="U143" s="11">
        <v>0</v>
      </c>
      <c r="V143" s="11">
        <v>2400</v>
      </c>
      <c r="W143" s="11">
        <v>0</v>
      </c>
      <c r="X143" s="31">
        <v>0</v>
      </c>
      <c r="Y143" s="41">
        <f t="shared" si="43"/>
        <v>27600</v>
      </c>
      <c r="Z143" s="50">
        <v>0</v>
      </c>
      <c r="AA143" s="50"/>
      <c r="AB143" s="43">
        <f t="shared" si="44"/>
        <v>0</v>
      </c>
      <c r="AC143" s="43">
        <f t="shared" si="45"/>
        <v>0</v>
      </c>
    </row>
    <row r="144" spans="1:29" ht="18.75" x14ac:dyDescent="0.3">
      <c r="A144" s="9">
        <v>9</v>
      </c>
      <c r="B144" s="33" t="s">
        <v>48</v>
      </c>
      <c r="C144" s="33" t="s">
        <v>42</v>
      </c>
      <c r="D144" s="33">
        <v>2</v>
      </c>
      <c r="E144" s="33">
        <v>2</v>
      </c>
      <c r="F144" s="33">
        <v>7</v>
      </c>
      <c r="G144" s="33">
        <v>326</v>
      </c>
      <c r="H144" s="33">
        <v>4</v>
      </c>
      <c r="I144" s="33">
        <v>1</v>
      </c>
      <c r="J144" s="33">
        <v>2</v>
      </c>
      <c r="K144" s="33">
        <v>7</v>
      </c>
      <c r="L144" s="33">
        <v>0</v>
      </c>
      <c r="M144" s="33">
        <v>3721</v>
      </c>
      <c r="N144" s="33">
        <v>1</v>
      </c>
      <c r="O144" s="33">
        <v>1</v>
      </c>
      <c r="P144" s="9">
        <v>0</v>
      </c>
      <c r="Q144" s="10"/>
      <c r="R144" s="11">
        <v>5000</v>
      </c>
      <c r="S144" s="11">
        <v>5000</v>
      </c>
      <c r="T144" s="11">
        <v>4000</v>
      </c>
      <c r="U144" s="11">
        <v>0</v>
      </c>
      <c r="V144" s="11">
        <v>0</v>
      </c>
      <c r="W144" s="11">
        <v>0</v>
      </c>
      <c r="X144" s="31">
        <v>0</v>
      </c>
      <c r="Y144" s="41">
        <f t="shared" si="43"/>
        <v>5000</v>
      </c>
      <c r="Z144" s="50">
        <v>0</v>
      </c>
      <c r="AA144" s="50"/>
      <c r="AB144" s="43">
        <f t="shared" si="44"/>
        <v>0</v>
      </c>
      <c r="AC144" s="43">
        <f t="shared" si="45"/>
        <v>0</v>
      </c>
    </row>
    <row r="145" spans="1:29" ht="18.75" x14ac:dyDescent="0.3">
      <c r="A145" s="9">
        <v>9</v>
      </c>
      <c r="B145" s="33" t="s">
        <v>48</v>
      </c>
      <c r="C145" s="33" t="s">
        <v>42</v>
      </c>
      <c r="D145" s="33">
        <v>2</v>
      </c>
      <c r="E145" s="33">
        <v>2</v>
      </c>
      <c r="F145" s="33">
        <v>7</v>
      </c>
      <c r="G145" s="33">
        <v>326</v>
      </c>
      <c r="H145" s="33">
        <v>4</v>
      </c>
      <c r="I145" s="33">
        <v>1</v>
      </c>
      <c r="J145" s="33">
        <v>2</v>
      </c>
      <c r="K145" s="33">
        <v>7</v>
      </c>
      <c r="L145" s="33">
        <v>0</v>
      </c>
      <c r="M145" s="33">
        <v>3722</v>
      </c>
      <c r="N145" s="33">
        <v>1</v>
      </c>
      <c r="O145" s="33">
        <v>1</v>
      </c>
      <c r="P145" s="9">
        <v>0</v>
      </c>
      <c r="Q145" s="10"/>
      <c r="R145" s="11">
        <v>150000</v>
      </c>
      <c r="S145" s="11">
        <v>150000</v>
      </c>
      <c r="T145" s="11">
        <v>150000</v>
      </c>
      <c r="U145" s="11">
        <v>4400</v>
      </c>
      <c r="V145" s="11">
        <v>89496</v>
      </c>
      <c r="W145" s="11">
        <v>0</v>
      </c>
      <c r="X145" s="31">
        <v>0</v>
      </c>
      <c r="Y145" s="41">
        <f t="shared" si="43"/>
        <v>60504</v>
      </c>
      <c r="Z145" s="50">
        <v>0</v>
      </c>
      <c r="AA145" s="50"/>
      <c r="AB145" s="43">
        <f t="shared" si="44"/>
        <v>0</v>
      </c>
      <c r="AC145" s="43">
        <f t="shared" si="45"/>
        <v>4400</v>
      </c>
    </row>
    <row r="146" spans="1:29" ht="18.75" x14ac:dyDescent="0.3">
      <c r="A146" s="9">
        <v>9</v>
      </c>
      <c r="B146" s="33" t="s">
        <v>48</v>
      </c>
      <c r="C146" s="33" t="s">
        <v>42</v>
      </c>
      <c r="D146" s="33">
        <v>2</v>
      </c>
      <c r="E146" s="33">
        <v>2</v>
      </c>
      <c r="F146" s="33">
        <v>7</v>
      </c>
      <c r="G146" s="33">
        <v>326</v>
      </c>
      <c r="H146" s="33">
        <v>4</v>
      </c>
      <c r="I146" s="33">
        <v>1</v>
      </c>
      <c r="J146" s="33">
        <v>2</v>
      </c>
      <c r="K146" s="33">
        <v>7</v>
      </c>
      <c r="L146" s="33">
        <v>0</v>
      </c>
      <c r="M146" s="33">
        <v>3751</v>
      </c>
      <c r="N146" s="33">
        <v>1</v>
      </c>
      <c r="O146" s="33">
        <v>1</v>
      </c>
      <c r="P146" s="9">
        <v>0</v>
      </c>
      <c r="Q146" s="10"/>
      <c r="R146" s="11">
        <v>5000</v>
      </c>
      <c r="S146" s="11">
        <v>5000</v>
      </c>
      <c r="T146" s="11">
        <v>4000</v>
      </c>
      <c r="U146" s="11">
        <v>0</v>
      </c>
      <c r="V146" s="11">
        <v>0</v>
      </c>
      <c r="W146" s="11">
        <v>0</v>
      </c>
      <c r="X146" s="31">
        <v>0</v>
      </c>
      <c r="Y146" s="41">
        <f t="shared" si="43"/>
        <v>5000</v>
      </c>
      <c r="Z146" s="50">
        <v>0</v>
      </c>
      <c r="AA146" s="50"/>
      <c r="AB146" s="43">
        <f t="shared" si="44"/>
        <v>0</v>
      </c>
      <c r="AC146" s="43">
        <f t="shared" si="45"/>
        <v>0</v>
      </c>
    </row>
    <row r="147" spans="1:29" ht="18.75" x14ac:dyDescent="0.3">
      <c r="A147" s="9">
        <v>9</v>
      </c>
      <c r="B147" s="33" t="s">
        <v>48</v>
      </c>
      <c r="C147" s="33" t="s">
        <v>42</v>
      </c>
      <c r="D147" s="33">
        <v>2</v>
      </c>
      <c r="E147" s="33">
        <v>2</v>
      </c>
      <c r="F147" s="33">
        <v>7</v>
      </c>
      <c r="G147" s="33">
        <v>326</v>
      </c>
      <c r="H147" s="33">
        <v>4</v>
      </c>
      <c r="I147" s="33">
        <v>1</v>
      </c>
      <c r="J147" s="33">
        <v>2</v>
      </c>
      <c r="K147" s="33">
        <v>7</v>
      </c>
      <c r="L147" s="33">
        <v>0</v>
      </c>
      <c r="M147" s="33">
        <v>3921</v>
      </c>
      <c r="N147" s="33">
        <v>1</v>
      </c>
      <c r="O147" s="33">
        <v>1</v>
      </c>
      <c r="P147" s="9">
        <v>0</v>
      </c>
      <c r="Q147" s="10"/>
      <c r="R147" s="11">
        <v>160000</v>
      </c>
      <c r="S147" s="11">
        <v>160000</v>
      </c>
      <c r="T147" s="11">
        <v>119997</v>
      </c>
      <c r="U147" s="11">
        <v>142.62</v>
      </c>
      <c r="V147" s="11">
        <v>63943.220000000008</v>
      </c>
      <c r="W147" s="11">
        <v>0</v>
      </c>
      <c r="X147" s="31">
        <v>0</v>
      </c>
      <c r="Y147" s="41">
        <f t="shared" si="43"/>
        <v>96056.78</v>
      </c>
      <c r="Z147" s="50">
        <v>0</v>
      </c>
      <c r="AA147" s="50"/>
      <c r="AB147" s="43">
        <f t="shared" si="44"/>
        <v>0</v>
      </c>
      <c r="AC147" s="43">
        <f t="shared" si="45"/>
        <v>142.62</v>
      </c>
    </row>
    <row r="148" spans="1:29" ht="18.75" x14ac:dyDescent="0.3">
      <c r="A148" s="9">
        <v>9</v>
      </c>
      <c r="B148" s="33" t="s">
        <v>48</v>
      </c>
      <c r="C148" s="33" t="s">
        <v>42</v>
      </c>
      <c r="D148" s="33">
        <v>2</v>
      </c>
      <c r="E148" s="33">
        <v>2</v>
      </c>
      <c r="F148" s="33">
        <v>7</v>
      </c>
      <c r="G148" s="33">
        <v>326</v>
      </c>
      <c r="H148" s="33">
        <v>4</v>
      </c>
      <c r="I148" s="33">
        <v>1</v>
      </c>
      <c r="J148" s="33">
        <v>2</v>
      </c>
      <c r="K148" s="33">
        <v>7</v>
      </c>
      <c r="L148" s="33">
        <v>0</v>
      </c>
      <c r="M148" s="33">
        <v>3981</v>
      </c>
      <c r="N148" s="33">
        <v>1</v>
      </c>
      <c r="O148" s="33">
        <v>1</v>
      </c>
      <c r="P148" s="9">
        <v>0</v>
      </c>
      <c r="Q148" s="10"/>
      <c r="R148" s="11">
        <v>514188</v>
      </c>
      <c r="S148" s="11">
        <v>514188</v>
      </c>
      <c r="T148" s="11">
        <v>388144</v>
      </c>
      <c r="U148" s="11">
        <v>40408.450000000004</v>
      </c>
      <c r="V148" s="11">
        <v>318395.66000000003</v>
      </c>
      <c r="W148" s="11">
        <v>0</v>
      </c>
      <c r="X148" s="31">
        <v>0</v>
      </c>
      <c r="Y148" s="41">
        <f>+S148-V148-X148-W148</f>
        <v>195792.33999999997</v>
      </c>
      <c r="Z148" s="50">
        <v>0</v>
      </c>
      <c r="AA148" s="50"/>
      <c r="AB148" s="43">
        <f t="shared" si="44"/>
        <v>0</v>
      </c>
      <c r="AC148" s="43">
        <f t="shared" si="45"/>
        <v>40408.450000000004</v>
      </c>
    </row>
    <row r="149" spans="1:29" ht="18.75" x14ac:dyDescent="0.3">
      <c r="A149" s="9">
        <v>9</v>
      </c>
      <c r="B149" s="33" t="s">
        <v>48</v>
      </c>
      <c r="C149" s="33" t="s">
        <v>42</v>
      </c>
      <c r="D149" s="33">
        <v>2</v>
      </c>
      <c r="E149" s="33">
        <v>2</v>
      </c>
      <c r="F149" s="33">
        <v>7</v>
      </c>
      <c r="G149" s="33">
        <v>326</v>
      </c>
      <c r="H149" s="33">
        <v>4</v>
      </c>
      <c r="I149" s="33">
        <v>1</v>
      </c>
      <c r="J149" s="33">
        <v>2</v>
      </c>
      <c r="K149" s="33">
        <v>7</v>
      </c>
      <c r="L149" s="33">
        <v>0</v>
      </c>
      <c r="M149" s="33">
        <v>3981</v>
      </c>
      <c r="N149" s="33">
        <v>1</v>
      </c>
      <c r="O149" s="33">
        <v>1</v>
      </c>
      <c r="P149" s="9">
        <v>4</v>
      </c>
      <c r="Q149" s="10"/>
      <c r="R149" s="11">
        <v>145000</v>
      </c>
      <c r="S149" s="11">
        <v>145000</v>
      </c>
      <c r="T149" s="11">
        <v>108747</v>
      </c>
      <c r="U149" s="11">
        <v>6854.7</v>
      </c>
      <c r="V149" s="11">
        <v>51127.659999999996</v>
      </c>
      <c r="W149" s="11">
        <v>0</v>
      </c>
      <c r="X149" s="31">
        <v>0</v>
      </c>
      <c r="Y149" s="41">
        <f t="shared" si="43"/>
        <v>93872.34</v>
      </c>
      <c r="Z149" s="50">
        <v>0</v>
      </c>
      <c r="AA149" s="50"/>
      <c r="AB149" s="43">
        <f t="shared" si="44"/>
        <v>0</v>
      </c>
      <c r="AC149" s="43">
        <f>+U149-AB149</f>
        <v>6854.7</v>
      </c>
    </row>
    <row r="150" spans="1:29" ht="18.75" x14ac:dyDescent="0.3">
      <c r="A150" s="9">
        <v>9</v>
      </c>
      <c r="B150" s="33" t="s">
        <v>48</v>
      </c>
      <c r="C150" s="33" t="s">
        <v>42</v>
      </c>
      <c r="D150" s="33">
        <v>2</v>
      </c>
      <c r="E150" s="33">
        <v>2</v>
      </c>
      <c r="F150" s="33">
        <v>7</v>
      </c>
      <c r="G150" s="33">
        <v>326</v>
      </c>
      <c r="H150" s="33">
        <v>4</v>
      </c>
      <c r="I150" s="33">
        <v>1</v>
      </c>
      <c r="J150" s="33">
        <v>2</v>
      </c>
      <c r="K150" s="33">
        <v>7</v>
      </c>
      <c r="L150" s="33">
        <v>0</v>
      </c>
      <c r="M150" s="33">
        <v>3982</v>
      </c>
      <c r="N150" s="33">
        <v>1</v>
      </c>
      <c r="O150" s="33">
        <v>1</v>
      </c>
      <c r="P150" s="9">
        <v>0</v>
      </c>
      <c r="Q150" s="10"/>
      <c r="R150" s="11">
        <v>710000</v>
      </c>
      <c r="S150" s="11">
        <v>710000</v>
      </c>
      <c r="T150" s="11">
        <v>60705</v>
      </c>
      <c r="U150" s="11">
        <v>0</v>
      </c>
      <c r="V150" s="11">
        <v>0</v>
      </c>
      <c r="W150" s="11">
        <v>0</v>
      </c>
      <c r="X150" s="31">
        <v>0</v>
      </c>
      <c r="Y150" s="41">
        <f t="shared" si="43"/>
        <v>710000</v>
      </c>
      <c r="Z150" s="50">
        <v>0</v>
      </c>
      <c r="AA150" s="50"/>
      <c r="AB150" s="43">
        <f t="shared" si="44"/>
        <v>0</v>
      </c>
      <c r="AC150" s="43">
        <f t="shared" si="45"/>
        <v>0</v>
      </c>
    </row>
    <row r="151" spans="1:29" ht="18.75" x14ac:dyDescent="0.3">
      <c r="A151" s="18"/>
      <c r="B151" s="18"/>
      <c r="C151" s="18"/>
      <c r="D151" s="18"/>
      <c r="E151" s="18"/>
      <c r="F151" s="18"/>
      <c r="G151" s="18"/>
      <c r="H151" s="18"/>
      <c r="I151" s="18"/>
      <c r="J151" s="18"/>
      <c r="K151" s="18"/>
      <c r="L151" s="18"/>
      <c r="M151" s="18"/>
      <c r="N151" s="175" t="s">
        <v>15</v>
      </c>
      <c r="O151" s="175"/>
      <c r="P151" s="175"/>
      <c r="Q151" s="175"/>
      <c r="R151" s="26">
        <f t="shared" ref="R151:AC151" si="48">SUM(R124:R150)</f>
        <v>26197171</v>
      </c>
      <c r="S151" s="26">
        <f t="shared" si="48"/>
        <v>26177171</v>
      </c>
      <c r="T151" s="26">
        <f t="shared" si="48"/>
        <v>19808607</v>
      </c>
      <c r="U151" s="26">
        <f t="shared" si="48"/>
        <v>1233049.1400000001</v>
      </c>
      <c r="V151" s="26">
        <f t="shared" si="48"/>
        <v>13742132.080000002</v>
      </c>
      <c r="W151" s="26">
        <f t="shared" si="48"/>
        <v>1504</v>
      </c>
      <c r="X151" s="26">
        <f>SUM(X124:X150)</f>
        <v>4263149.9799999995</v>
      </c>
      <c r="Y151" s="44">
        <f t="shared" si="48"/>
        <v>8170384.9399999995</v>
      </c>
      <c r="Z151" s="44">
        <f t="shared" si="48"/>
        <v>4583081.4499999993</v>
      </c>
      <c r="AA151" s="44">
        <f t="shared" si="48"/>
        <v>0</v>
      </c>
      <c r="AB151" s="44">
        <f t="shared" si="48"/>
        <v>318427.47000000003</v>
      </c>
      <c r="AC151" s="44">
        <f t="shared" si="48"/>
        <v>914621.66999999993</v>
      </c>
    </row>
    <row r="152" spans="1:29" s="2" customFormat="1" ht="18.75" x14ac:dyDescent="0.3">
      <c r="A152" s="9">
        <v>9</v>
      </c>
      <c r="B152" s="33" t="s">
        <v>48</v>
      </c>
      <c r="C152" s="33" t="s">
        <v>42</v>
      </c>
      <c r="D152" s="33">
        <v>2</v>
      </c>
      <c r="E152" s="33">
        <v>2</v>
      </c>
      <c r="F152" s="33">
        <v>7</v>
      </c>
      <c r="G152" s="33">
        <v>326</v>
      </c>
      <c r="H152" s="33">
        <v>1</v>
      </c>
      <c r="I152" s="33">
        <v>1</v>
      </c>
      <c r="J152" s="33">
        <v>1</v>
      </c>
      <c r="K152" s="33">
        <v>7</v>
      </c>
      <c r="L152" s="33">
        <v>0</v>
      </c>
      <c r="M152" s="33">
        <v>4419</v>
      </c>
      <c r="N152" s="33">
        <v>1</v>
      </c>
      <c r="O152" s="33">
        <v>1</v>
      </c>
      <c r="P152" s="9">
        <v>0</v>
      </c>
      <c r="Q152" s="10"/>
      <c r="R152" s="11">
        <v>6000000</v>
      </c>
      <c r="S152" s="11">
        <v>6000000</v>
      </c>
      <c r="T152" s="11">
        <v>4363640</v>
      </c>
      <c r="U152" s="11">
        <v>545455</v>
      </c>
      <c r="V152" s="11">
        <v>4363640</v>
      </c>
      <c r="W152" s="11">
        <v>0</v>
      </c>
      <c r="X152" s="31">
        <v>1636360</v>
      </c>
      <c r="Y152" s="42">
        <f>+S152-V152-X152</f>
        <v>0</v>
      </c>
      <c r="Z152" s="42">
        <v>2181815</v>
      </c>
      <c r="AA152" s="42"/>
      <c r="AB152" s="43">
        <f t="shared" ref="AB152" si="49">+Z152-X152+AA152-W152</f>
        <v>545455</v>
      </c>
      <c r="AC152" s="42">
        <f t="shared" ref="AC152" si="50">+U152-AB152</f>
        <v>0</v>
      </c>
    </row>
    <row r="153" spans="1:29" ht="18.75" x14ac:dyDescent="0.3">
      <c r="A153" s="9"/>
      <c r="B153" s="33"/>
      <c r="C153" s="33"/>
      <c r="D153" s="9"/>
      <c r="E153" s="9"/>
      <c r="F153" s="9"/>
      <c r="G153" s="9"/>
      <c r="H153" s="9"/>
      <c r="I153" s="9"/>
      <c r="J153" s="9"/>
      <c r="K153" s="9"/>
      <c r="L153" s="9"/>
      <c r="M153" s="9"/>
      <c r="N153" s="175" t="s">
        <v>16</v>
      </c>
      <c r="O153" s="175"/>
      <c r="P153" s="175"/>
      <c r="Q153" s="175"/>
      <c r="R153" s="26">
        <f>+R152</f>
        <v>6000000</v>
      </c>
      <c r="S153" s="26">
        <f t="shared" ref="S153:V153" si="51">+S152</f>
        <v>6000000</v>
      </c>
      <c r="T153" s="26">
        <f t="shared" si="51"/>
        <v>4363640</v>
      </c>
      <c r="U153" s="26">
        <f>+U152</f>
        <v>545455</v>
      </c>
      <c r="V153" s="26">
        <f t="shared" si="51"/>
        <v>4363640</v>
      </c>
      <c r="W153" s="26">
        <f>+W152</f>
        <v>0</v>
      </c>
      <c r="X153" s="38">
        <f>+X152</f>
        <v>1636360</v>
      </c>
      <c r="Y153" s="44">
        <f t="shared" ref="Y153" si="52">+Y152</f>
        <v>0</v>
      </c>
      <c r="Z153" s="44">
        <f>+Z152</f>
        <v>2181815</v>
      </c>
      <c r="AA153" s="44">
        <f t="shared" ref="AA153:AC153" si="53">+AA152</f>
        <v>0</v>
      </c>
      <c r="AB153" s="44">
        <f t="shared" si="53"/>
        <v>545455</v>
      </c>
      <c r="AC153" s="44">
        <f t="shared" si="53"/>
        <v>0</v>
      </c>
    </row>
    <row r="154" spans="1:29" ht="18.75" x14ac:dyDescent="0.3">
      <c r="A154" s="9">
        <v>9</v>
      </c>
      <c r="B154" s="33" t="s">
        <v>48</v>
      </c>
      <c r="C154" s="33" t="s">
        <v>42</v>
      </c>
      <c r="D154" s="33">
        <v>2</v>
      </c>
      <c r="E154" s="33">
        <v>2</v>
      </c>
      <c r="F154" s="33">
        <v>7</v>
      </c>
      <c r="G154" s="33">
        <v>326</v>
      </c>
      <c r="H154" s="33">
        <v>4</v>
      </c>
      <c r="I154" s="33">
        <v>1</v>
      </c>
      <c r="J154" s="33">
        <v>2</v>
      </c>
      <c r="K154" s="33">
        <v>7</v>
      </c>
      <c r="L154" s="33">
        <v>0</v>
      </c>
      <c r="M154" s="33">
        <v>5111</v>
      </c>
      <c r="N154" s="33">
        <v>2</v>
      </c>
      <c r="O154" s="33">
        <v>1</v>
      </c>
      <c r="P154" s="9">
        <v>0</v>
      </c>
      <c r="Q154" s="10" t="s">
        <v>61</v>
      </c>
      <c r="R154" s="73">
        <v>0</v>
      </c>
      <c r="S154" s="73">
        <v>20000</v>
      </c>
      <c r="T154" s="73">
        <v>20000</v>
      </c>
      <c r="U154" s="73">
        <v>0</v>
      </c>
      <c r="V154" s="73">
        <v>0</v>
      </c>
      <c r="W154" s="73"/>
      <c r="X154" s="74">
        <v>0</v>
      </c>
      <c r="Y154" s="41">
        <f>+S154-V154-X154-W154</f>
        <v>20000</v>
      </c>
      <c r="Z154" s="51">
        <v>0</v>
      </c>
      <c r="AA154" s="51"/>
      <c r="AB154" s="43">
        <f t="shared" ref="AB154:AB155" si="54">+Z154-X154+AA154-W154</f>
        <v>0</v>
      </c>
      <c r="AC154" s="43">
        <f t="shared" ref="AC154:AC155" si="55">+U154-AB154</f>
        <v>0</v>
      </c>
    </row>
    <row r="155" spans="1:29" ht="18.75" x14ac:dyDescent="0.3">
      <c r="A155" s="9">
        <v>9</v>
      </c>
      <c r="B155" s="33" t="s">
        <v>48</v>
      </c>
      <c r="C155" s="33" t="s">
        <v>42</v>
      </c>
      <c r="D155" s="33">
        <v>2</v>
      </c>
      <c r="E155" s="33">
        <v>2</v>
      </c>
      <c r="F155" s="33">
        <v>7</v>
      </c>
      <c r="G155" s="33">
        <v>326</v>
      </c>
      <c r="H155" s="33">
        <v>4</v>
      </c>
      <c r="I155" s="33">
        <v>1</v>
      </c>
      <c r="J155" s="33">
        <v>2</v>
      </c>
      <c r="K155" s="33">
        <v>6</v>
      </c>
      <c r="L155" s="33">
        <v>5</v>
      </c>
      <c r="M155" s="33">
        <v>5151</v>
      </c>
      <c r="N155" s="33">
        <v>2</v>
      </c>
      <c r="O155" s="33">
        <v>1</v>
      </c>
      <c r="P155" s="9">
        <v>0</v>
      </c>
      <c r="Q155" s="10" t="s">
        <v>59</v>
      </c>
      <c r="R155" s="11">
        <v>0</v>
      </c>
      <c r="S155" s="11">
        <v>501000</v>
      </c>
      <c r="T155" s="11">
        <v>501000</v>
      </c>
      <c r="U155" s="11">
        <v>0</v>
      </c>
      <c r="V155" s="11">
        <v>0</v>
      </c>
      <c r="W155" s="11"/>
      <c r="X155" s="31">
        <v>0</v>
      </c>
      <c r="Y155" s="41">
        <f>+S155-V155-X155-W155</f>
        <v>501000</v>
      </c>
      <c r="Z155" s="50">
        <v>0</v>
      </c>
      <c r="AA155" s="51"/>
      <c r="AB155" s="43">
        <f t="shared" si="54"/>
        <v>0</v>
      </c>
      <c r="AC155" s="43">
        <f t="shared" si="55"/>
        <v>0</v>
      </c>
    </row>
    <row r="156" spans="1:29" ht="18.75" x14ac:dyDescent="0.3">
      <c r="A156" s="9">
        <v>9</v>
      </c>
      <c r="B156" s="33" t="s">
        <v>48</v>
      </c>
      <c r="C156" s="33" t="s">
        <v>42</v>
      </c>
      <c r="D156" s="33">
        <v>2</v>
      </c>
      <c r="E156" s="33">
        <v>2</v>
      </c>
      <c r="F156" s="33">
        <v>7</v>
      </c>
      <c r="G156" s="33">
        <v>326</v>
      </c>
      <c r="H156" s="33">
        <v>4</v>
      </c>
      <c r="I156" s="33">
        <v>1</v>
      </c>
      <c r="J156" s="33">
        <v>2</v>
      </c>
      <c r="K156" s="33">
        <v>6</v>
      </c>
      <c r="L156" s="33">
        <v>5</v>
      </c>
      <c r="M156" s="33">
        <v>5661</v>
      </c>
      <c r="N156" s="33">
        <v>2</v>
      </c>
      <c r="O156" s="33">
        <v>1</v>
      </c>
      <c r="P156" s="9">
        <v>0</v>
      </c>
      <c r="Q156" s="10" t="s">
        <v>59</v>
      </c>
      <c r="R156" s="11">
        <v>0</v>
      </c>
      <c r="S156" s="11">
        <v>362000</v>
      </c>
      <c r="T156" s="11">
        <v>362000</v>
      </c>
      <c r="U156" s="11">
        <v>0</v>
      </c>
      <c r="V156" s="11">
        <v>0</v>
      </c>
      <c r="W156" s="11"/>
      <c r="X156" s="31">
        <v>0</v>
      </c>
      <c r="Y156" s="41">
        <f t="shared" ref="Y156:Y157" si="56">+S156-V156-X156-W156</f>
        <v>362000</v>
      </c>
      <c r="Z156" s="50">
        <v>0</v>
      </c>
      <c r="AA156" s="51"/>
      <c r="AB156" s="43">
        <f t="shared" ref="AB156:AB157" si="57">+Z156-X156+AA156-W156</f>
        <v>0</v>
      </c>
      <c r="AC156" s="43">
        <f t="shared" ref="AC156:AC157" si="58">+U156-AB156</f>
        <v>0</v>
      </c>
    </row>
    <row r="157" spans="1:29" ht="18.75" x14ac:dyDescent="0.3">
      <c r="A157" s="9">
        <v>9</v>
      </c>
      <c r="B157" s="33" t="s">
        <v>48</v>
      </c>
      <c r="C157" s="33" t="s">
        <v>42</v>
      </c>
      <c r="D157" s="33">
        <v>2</v>
      </c>
      <c r="E157" s="33">
        <v>2</v>
      </c>
      <c r="F157" s="33">
        <v>7</v>
      </c>
      <c r="G157" s="33">
        <v>326</v>
      </c>
      <c r="H157" s="33">
        <v>4</v>
      </c>
      <c r="I157" s="33">
        <v>1</v>
      </c>
      <c r="J157" s="33">
        <v>2</v>
      </c>
      <c r="K157" s="33">
        <v>6</v>
      </c>
      <c r="L157" s="33">
        <v>5</v>
      </c>
      <c r="M157" s="33">
        <v>5911</v>
      </c>
      <c r="N157" s="33">
        <v>2</v>
      </c>
      <c r="O157" s="33">
        <v>1</v>
      </c>
      <c r="P157" s="9">
        <v>0</v>
      </c>
      <c r="Q157" s="10" t="s">
        <v>59</v>
      </c>
      <c r="R157" s="11">
        <v>0</v>
      </c>
      <c r="S157" s="11">
        <v>250000</v>
      </c>
      <c r="T157" s="11">
        <v>250000</v>
      </c>
      <c r="U157" s="11">
        <v>0</v>
      </c>
      <c r="V157" s="11">
        <v>0</v>
      </c>
      <c r="W157" s="11"/>
      <c r="X157" s="31">
        <v>0</v>
      </c>
      <c r="Y157" s="71">
        <f t="shared" si="56"/>
        <v>250000</v>
      </c>
      <c r="Z157" s="47">
        <v>0</v>
      </c>
      <c r="AA157" s="72"/>
      <c r="AB157" s="48">
        <f t="shared" si="57"/>
        <v>0</v>
      </c>
      <c r="AC157" s="48">
        <f t="shared" si="58"/>
        <v>0</v>
      </c>
    </row>
    <row r="158" spans="1:29" ht="19.5" thickBot="1" x14ac:dyDescent="0.35">
      <c r="A158" s="9"/>
      <c r="B158" s="33"/>
      <c r="C158" s="33"/>
      <c r="D158" s="33"/>
      <c r="E158" s="33"/>
      <c r="F158" s="33"/>
      <c r="G158" s="33"/>
      <c r="H158" s="33"/>
      <c r="I158" s="33"/>
      <c r="J158" s="33"/>
      <c r="K158" s="33"/>
      <c r="L158" s="33"/>
      <c r="M158" s="33"/>
      <c r="N158" s="175" t="s">
        <v>60</v>
      </c>
      <c r="O158" s="175"/>
      <c r="P158" s="175"/>
      <c r="Q158" s="175"/>
      <c r="R158" s="26">
        <f>SUM(R154:R157)</f>
        <v>0</v>
      </c>
      <c r="S158" s="26">
        <f t="shared" ref="S158:AC158" si="59">SUM(S154:S157)</f>
        <v>1133000</v>
      </c>
      <c r="T158" s="26">
        <f t="shared" si="59"/>
        <v>1133000</v>
      </c>
      <c r="U158" s="26">
        <f t="shared" si="59"/>
        <v>0</v>
      </c>
      <c r="V158" s="26">
        <f t="shared" si="59"/>
        <v>0</v>
      </c>
      <c r="W158" s="26">
        <f t="shared" si="59"/>
        <v>0</v>
      </c>
      <c r="X158" s="26">
        <f t="shared" si="59"/>
        <v>0</v>
      </c>
      <c r="Y158" s="26">
        <f t="shared" si="59"/>
        <v>1133000</v>
      </c>
      <c r="Z158" s="26">
        <f t="shared" si="59"/>
        <v>0</v>
      </c>
      <c r="AA158" s="26">
        <f t="shared" si="59"/>
        <v>0</v>
      </c>
      <c r="AB158" s="26">
        <f t="shared" si="59"/>
        <v>0</v>
      </c>
      <c r="AC158" s="26">
        <f t="shared" si="59"/>
        <v>0</v>
      </c>
    </row>
    <row r="159" spans="1:29" s="2" customFormat="1" ht="20.25" thickTop="1" thickBot="1" x14ac:dyDescent="0.35">
      <c r="A159" s="176" t="s">
        <v>38</v>
      </c>
      <c r="B159" s="176"/>
      <c r="C159" s="176"/>
      <c r="D159" s="176"/>
      <c r="E159" s="176"/>
      <c r="F159" s="176"/>
      <c r="G159" s="176"/>
      <c r="H159" s="176"/>
      <c r="I159" s="176"/>
      <c r="J159" s="176"/>
      <c r="K159" s="176"/>
      <c r="L159" s="176"/>
      <c r="M159" s="176"/>
      <c r="N159" s="176"/>
      <c r="O159" s="176"/>
      <c r="P159" s="176"/>
      <c r="Q159" s="176"/>
      <c r="R159" s="15">
        <f>+R103+R123+R151+R153+R158</f>
        <v>65943590</v>
      </c>
      <c r="S159" s="15">
        <f t="shared" ref="S159:AC159" si="60">+S103+S123+S151+S153+S158</f>
        <v>67056590</v>
      </c>
      <c r="T159" s="15">
        <f t="shared" si="60"/>
        <v>47928744</v>
      </c>
      <c r="U159" s="15">
        <f t="shared" si="60"/>
        <v>4106880.43</v>
      </c>
      <c r="V159" s="15">
        <f t="shared" si="60"/>
        <v>36385756.940000005</v>
      </c>
      <c r="W159" s="15">
        <f t="shared" si="60"/>
        <v>1504</v>
      </c>
      <c r="X159" s="15">
        <f t="shared" si="60"/>
        <v>17585612.729999997</v>
      </c>
      <c r="Y159" s="15">
        <f t="shared" si="60"/>
        <v>13083716.329999998</v>
      </c>
      <c r="Z159" s="15">
        <f t="shared" si="60"/>
        <v>20572489.550000001</v>
      </c>
      <c r="AA159" s="15">
        <f t="shared" si="60"/>
        <v>119634</v>
      </c>
      <c r="AB159" s="15">
        <f t="shared" si="60"/>
        <v>3105006.8200000008</v>
      </c>
      <c r="AC159" s="15">
        <f t="shared" si="60"/>
        <v>1001873.6099999999</v>
      </c>
    </row>
    <row r="160" spans="1:29" s="2" customFormat="1" ht="21.75" thickTop="1" x14ac:dyDescent="0.35">
      <c r="N160" s="175" t="s">
        <v>22</v>
      </c>
      <c r="O160" s="175"/>
      <c r="P160" s="175"/>
      <c r="Q160" s="175"/>
      <c r="R160" s="62">
        <f t="shared" ref="R160:AC160" si="61">+R13+R20+R80+R159</f>
        <v>88806148</v>
      </c>
      <c r="S160" s="62">
        <f t="shared" si="61"/>
        <v>89919148</v>
      </c>
      <c r="T160" s="62">
        <f t="shared" si="61"/>
        <v>63526271</v>
      </c>
      <c r="U160" s="62">
        <f t="shared" si="61"/>
        <v>5600600.0600000005</v>
      </c>
      <c r="V160" s="62">
        <f t="shared" si="61"/>
        <v>49260056.800000004</v>
      </c>
      <c r="W160" s="62">
        <f t="shared" si="61"/>
        <v>1504</v>
      </c>
      <c r="X160" s="62">
        <f t="shared" si="61"/>
        <v>24890048.199999996</v>
      </c>
      <c r="Y160" s="62">
        <f>+Y13+Y20+Y80+Y159</f>
        <v>15767538.999999998</v>
      </c>
      <c r="Z160" s="62">
        <f t="shared" si="61"/>
        <v>29302685.520000003</v>
      </c>
      <c r="AA160" s="62">
        <f t="shared" si="61"/>
        <v>119634</v>
      </c>
      <c r="AB160" s="62">
        <f t="shared" si="61"/>
        <v>4530767.3200000012</v>
      </c>
      <c r="AC160" s="62">
        <f t="shared" si="61"/>
        <v>1069832.7399999998</v>
      </c>
    </row>
    <row r="161" spans="14:29" ht="18" x14ac:dyDescent="0.25">
      <c r="N161" s="4"/>
      <c r="O161" s="4"/>
      <c r="P161" s="4"/>
      <c r="Q161" s="4"/>
      <c r="R161" s="8"/>
      <c r="S161" s="8"/>
      <c r="T161" s="8"/>
      <c r="U161" s="8"/>
      <c r="V161" s="8"/>
      <c r="W161" s="8"/>
      <c r="X161" s="3"/>
      <c r="Y161" s="52">
        <f>+V160+W160+X160</f>
        <v>74151609</v>
      </c>
      <c r="Z161" s="52"/>
      <c r="AA161" s="52"/>
      <c r="AB161" s="49"/>
      <c r="AC161" s="49">
        <f>+AB160+AC160</f>
        <v>5600600.0600000005</v>
      </c>
    </row>
    <row r="162" spans="14:29" ht="18" x14ac:dyDescent="0.25">
      <c r="N162" s="4"/>
      <c r="O162" s="4"/>
      <c r="P162" s="4"/>
      <c r="Q162" s="4"/>
      <c r="R162" s="8"/>
      <c r="S162" s="8"/>
      <c r="T162" s="8"/>
      <c r="U162" s="8"/>
      <c r="V162" s="8"/>
      <c r="W162" s="8"/>
      <c r="X162" s="3"/>
      <c r="Y162" s="52">
        <f>'[2]A TOTAL RP'!$AA$177</f>
        <v>74151609</v>
      </c>
      <c r="Z162" s="53"/>
      <c r="AA162" s="52"/>
      <c r="AB162" s="52"/>
      <c r="AC162" s="53">
        <f>+AC161-U160</f>
        <v>0</v>
      </c>
    </row>
    <row r="163" spans="14:29" ht="18" x14ac:dyDescent="0.25">
      <c r="N163" s="4"/>
      <c r="O163" s="4"/>
      <c r="P163" s="4"/>
      <c r="Q163" s="4"/>
      <c r="R163" s="8"/>
      <c r="S163" s="8"/>
      <c r="T163" s="8"/>
      <c r="U163" s="8"/>
      <c r="V163" s="8"/>
      <c r="W163" s="8"/>
      <c r="X163" s="3"/>
      <c r="Y163" s="53">
        <f>+Y161-Y162</f>
        <v>0</v>
      </c>
      <c r="Z163" s="52"/>
      <c r="AA163" s="52"/>
      <c r="AB163" s="53"/>
      <c r="AC163" s="53">
        <v>1069832.74</v>
      </c>
    </row>
    <row r="164" spans="14:29" ht="18" x14ac:dyDescent="0.25">
      <c r="N164" s="5"/>
      <c r="O164" s="5"/>
      <c r="P164" s="5"/>
      <c r="Q164" s="5"/>
      <c r="R164" s="5"/>
      <c r="S164" s="5"/>
      <c r="T164" s="5"/>
      <c r="U164" s="5"/>
      <c r="V164" s="5"/>
      <c r="W164" s="5"/>
      <c r="X164" s="5"/>
      <c r="Y164" s="54"/>
      <c r="Z164" s="51"/>
      <c r="AA164" s="51"/>
      <c r="AB164" s="53"/>
      <c r="AC164" s="53">
        <f>+AC160-AC163</f>
        <v>0</v>
      </c>
    </row>
    <row r="165" spans="14:29" ht="18.75" x14ac:dyDescent="0.3">
      <c r="N165" s="5"/>
      <c r="O165" s="5"/>
      <c r="P165" s="5"/>
      <c r="Q165" s="6"/>
      <c r="R165" s="7"/>
      <c r="S165" s="5" t="s">
        <v>11</v>
      </c>
      <c r="T165" s="5"/>
      <c r="U165" s="5"/>
      <c r="V165" s="6"/>
      <c r="W165" s="5"/>
      <c r="X165" s="5"/>
      <c r="Y165" s="54"/>
      <c r="Z165" s="51"/>
      <c r="AA165" s="51"/>
      <c r="AB165" s="55"/>
      <c r="AC165" s="56"/>
    </row>
    <row r="166" spans="14:29" ht="18.75" x14ac:dyDescent="0.3">
      <c r="N166" s="166" t="s">
        <v>8</v>
      </c>
      <c r="O166" s="166"/>
      <c r="P166" s="166"/>
      <c r="Q166" s="166"/>
      <c r="R166" s="166"/>
      <c r="S166" s="16"/>
      <c r="T166" s="16"/>
      <c r="U166" s="16"/>
      <c r="V166" s="167" t="s">
        <v>7</v>
      </c>
      <c r="W166" s="167"/>
      <c r="X166" s="167"/>
      <c r="Y166" s="54"/>
      <c r="Z166" s="51"/>
      <c r="AA166" s="51"/>
      <c r="AB166" s="55"/>
      <c r="AC166" s="56"/>
    </row>
    <row r="167" spans="14:29" ht="18.75" x14ac:dyDescent="0.3">
      <c r="N167" s="165" t="s">
        <v>53</v>
      </c>
      <c r="O167" s="165"/>
      <c r="P167" s="165"/>
      <c r="Q167" s="165"/>
      <c r="R167" s="165"/>
      <c r="S167" s="16" t="s">
        <v>11</v>
      </c>
      <c r="T167" s="16"/>
      <c r="U167" s="16"/>
      <c r="V167" s="165" t="s">
        <v>50</v>
      </c>
      <c r="W167" s="165"/>
      <c r="X167" s="165"/>
      <c r="Y167" s="54"/>
      <c r="Z167" s="57"/>
      <c r="AA167" s="57"/>
      <c r="AB167" s="55"/>
      <c r="AC167" s="56"/>
    </row>
    <row r="168" spans="14:29" ht="18.75" customHeight="1" x14ac:dyDescent="0.3">
      <c r="N168" s="165" t="s">
        <v>54</v>
      </c>
      <c r="O168" s="165"/>
      <c r="P168" s="165"/>
      <c r="Q168" s="165"/>
      <c r="R168" s="165"/>
      <c r="S168" s="17"/>
      <c r="T168" s="17"/>
      <c r="U168" s="17"/>
      <c r="V168" s="165" t="s">
        <v>51</v>
      </c>
      <c r="W168" s="165"/>
      <c r="X168" s="165"/>
      <c r="Y168" s="54"/>
      <c r="Z168" s="51"/>
      <c r="AA168" s="51"/>
      <c r="AB168" s="55"/>
      <c r="AC168" s="56"/>
    </row>
    <row r="169" spans="14:29" ht="18.75" x14ac:dyDescent="0.3">
      <c r="N169" s="28"/>
      <c r="O169" s="28"/>
      <c r="P169" s="28"/>
      <c r="Q169" s="28"/>
      <c r="R169" s="28"/>
      <c r="S169" s="17"/>
      <c r="T169" s="17"/>
      <c r="U169" s="17"/>
      <c r="V169" s="30"/>
      <c r="W169" s="30"/>
      <c r="X169" s="30"/>
      <c r="Y169" s="58"/>
      <c r="Z169" s="59"/>
      <c r="AA169" s="59"/>
      <c r="AB169" s="55"/>
      <c r="AC169" s="56"/>
    </row>
    <row r="170" spans="14:29" ht="18.75" x14ac:dyDescent="0.3">
      <c r="N170" s="28"/>
      <c r="O170" s="28"/>
      <c r="P170" s="28"/>
      <c r="Q170" s="28"/>
      <c r="R170" s="28"/>
      <c r="S170" s="17"/>
      <c r="T170" s="17"/>
      <c r="U170" s="17"/>
      <c r="V170" s="30"/>
      <c r="W170" s="30"/>
      <c r="X170" s="30"/>
      <c r="Z170" s="58"/>
      <c r="AA170" s="58"/>
      <c r="AB170" s="55"/>
      <c r="AC170" s="56"/>
    </row>
    <row r="171" spans="14:29" x14ac:dyDescent="0.3">
      <c r="R171" s="22">
        <f>+[3]Hoja1!$O$2512</f>
        <v>88806148</v>
      </c>
      <c r="S171" s="22">
        <f>+[3]Hoja1!$P$2516</f>
        <v>89919148</v>
      </c>
      <c r="T171" s="22">
        <f>+[3]Hoja1!$Q$2512</f>
        <v>63526271</v>
      </c>
      <c r="U171" s="22">
        <f>+[3]Hoja1!$S$2512</f>
        <v>5600600.0599999996</v>
      </c>
      <c r="V171" s="22">
        <f>+[3]Hoja1!$T$2512</f>
        <v>49260056.800000004</v>
      </c>
      <c r="X171" s="27">
        <f>'[4]A '!$Y$218+'[4]A  Aportaciones'!$Y$65</f>
        <v>24891552.199999999</v>
      </c>
      <c r="Z171" s="58"/>
      <c r="AA171" s="58"/>
    </row>
    <row r="172" spans="14:29" x14ac:dyDescent="0.3">
      <c r="R172" s="22">
        <f>+R160-R171</f>
        <v>0</v>
      </c>
      <c r="S172" s="22">
        <f>+S160-S171</f>
        <v>0</v>
      </c>
      <c r="T172" s="22">
        <f>+T160-T171</f>
        <v>0</v>
      </c>
      <c r="U172" s="22">
        <f>+U160-U171</f>
        <v>0</v>
      </c>
      <c r="V172" s="22">
        <f>+V160-V171</f>
        <v>0</v>
      </c>
      <c r="X172" s="27">
        <f>+X160+W160-X171</f>
        <v>0</v>
      </c>
      <c r="Y172" s="58"/>
      <c r="Z172" s="58"/>
      <c r="AA172" s="58"/>
    </row>
    <row r="173" spans="14:29" x14ac:dyDescent="0.3">
      <c r="R173" s="23"/>
      <c r="S173" s="24">
        <f>+S160-R160</f>
        <v>1113000</v>
      </c>
      <c r="T173" s="23"/>
      <c r="U173" s="22"/>
      <c r="V173" s="34"/>
      <c r="X173" s="29"/>
    </row>
    <row r="174" spans="14:29" ht="17.25" x14ac:dyDescent="0.3">
      <c r="R174" s="23"/>
      <c r="S174" s="24"/>
      <c r="T174" s="23"/>
      <c r="U174" s="22"/>
      <c r="V174" s="22"/>
      <c r="X174" s="27"/>
      <c r="Y174" s="60"/>
    </row>
    <row r="175" spans="14:29" ht="18.75" x14ac:dyDescent="0.3">
      <c r="R175" s="22"/>
      <c r="S175" s="22"/>
      <c r="T175" s="22"/>
      <c r="U175" s="22"/>
      <c r="V175" s="22"/>
      <c r="W175" s="22"/>
      <c r="X175" s="22"/>
      <c r="Y175" s="42"/>
    </row>
    <row r="176" spans="14:29" ht="18.75" x14ac:dyDescent="0.3">
      <c r="R176" s="23"/>
      <c r="S176" s="23"/>
      <c r="T176" s="23"/>
      <c r="U176" s="24"/>
      <c r="V176" s="11"/>
      <c r="W176" s="32"/>
      <c r="X176" s="1" t="s">
        <v>11</v>
      </c>
      <c r="Y176" s="42"/>
    </row>
    <row r="177" spans="18:27" ht="18.75" x14ac:dyDescent="0.3">
      <c r="R177" s="23"/>
      <c r="S177" s="23"/>
      <c r="T177" s="23"/>
      <c r="U177" s="24"/>
      <c r="V177" s="11"/>
      <c r="W177" s="32"/>
      <c r="Y177" s="42"/>
      <c r="Z177" s="61"/>
      <c r="AA177" s="61"/>
    </row>
    <row r="178" spans="18:27" ht="18.75" x14ac:dyDescent="0.3">
      <c r="R178" s="23"/>
      <c r="S178" s="23"/>
      <c r="T178" s="23"/>
      <c r="U178" s="24"/>
      <c r="V178" s="11"/>
      <c r="W178" s="32"/>
      <c r="Y178" s="42"/>
      <c r="Z178" s="61"/>
      <c r="AA178" s="61"/>
    </row>
    <row r="179" spans="18:27" ht="18.75" x14ac:dyDescent="0.3">
      <c r="U179" s="24"/>
      <c r="V179" s="11"/>
      <c r="W179" s="32"/>
      <c r="Y179" s="42"/>
      <c r="Z179" s="61"/>
      <c r="AA179" s="61"/>
    </row>
    <row r="180" spans="18:27" ht="18.75" x14ac:dyDescent="0.3">
      <c r="V180" s="11"/>
      <c r="W180" s="32"/>
      <c r="Y180" s="42"/>
      <c r="Z180" s="61"/>
      <c r="AA180" s="61"/>
    </row>
    <row r="181" spans="18:27" ht="18.75" x14ac:dyDescent="0.3">
      <c r="Z181" s="61"/>
      <c r="AA181" s="61"/>
    </row>
    <row r="182" spans="18:27" ht="18.75" x14ac:dyDescent="0.3">
      <c r="Z182" s="61"/>
      <c r="AA182" s="61"/>
    </row>
    <row r="812" spans="26:26" x14ac:dyDescent="0.3">
      <c r="Z812" s="40">
        <f>'Analítico Septiembre'!$Z$807</f>
        <v>0</v>
      </c>
    </row>
  </sheetData>
  <mergeCells count="43">
    <mergeCell ref="N160:Q160"/>
    <mergeCell ref="A80:Q80"/>
    <mergeCell ref="N103:Q103"/>
    <mergeCell ref="N123:Q123"/>
    <mergeCell ref="N151:Q151"/>
    <mergeCell ref="A159:Q159"/>
    <mergeCell ref="N153:Q153"/>
    <mergeCell ref="N158:Q158"/>
    <mergeCell ref="A7:C7"/>
    <mergeCell ref="D7:G7"/>
    <mergeCell ref="H7:L7"/>
    <mergeCell ref="M7:P7"/>
    <mergeCell ref="Q7:Q8"/>
    <mergeCell ref="N79:Q79"/>
    <mergeCell ref="N10:Q10"/>
    <mergeCell ref="N38:Q38"/>
    <mergeCell ref="N57:Q57"/>
    <mergeCell ref="N12:Q12"/>
    <mergeCell ref="N16:Q16"/>
    <mergeCell ref="N19:Q19"/>
    <mergeCell ref="A13:Q13"/>
    <mergeCell ref="A20:Q20"/>
    <mergeCell ref="N1:X1"/>
    <mergeCell ref="N2:X2"/>
    <mergeCell ref="N3:X3"/>
    <mergeCell ref="N4:X4"/>
    <mergeCell ref="N5:X5"/>
    <mergeCell ref="AB7:AB8"/>
    <mergeCell ref="AC7:AC8"/>
    <mergeCell ref="R7:R8"/>
    <mergeCell ref="S7:S8"/>
    <mergeCell ref="T7:T8"/>
    <mergeCell ref="W7:W8"/>
    <mergeCell ref="Y7:Y8"/>
    <mergeCell ref="Z7:Z8"/>
    <mergeCell ref="X7:X8"/>
    <mergeCell ref="U7:V7"/>
    <mergeCell ref="V168:X168"/>
    <mergeCell ref="N168:R168"/>
    <mergeCell ref="V167:X167"/>
    <mergeCell ref="N167:R167"/>
    <mergeCell ref="N166:R166"/>
    <mergeCell ref="V166:X166"/>
  </mergeCells>
  <phoneticPr fontId="12" type="noConversion"/>
  <conditionalFormatting sqref="X152:AA152 X14:X15 Z14:AA15 AC14:AC15 X18:AA18 X9 X11 Z9:AA11 AC9:AC11 AC152 AC58:AC78 AC81:AC102 AC39:AC56 AC104:AC122 Z39:AA39 Z104:Z122 AC124:AC150 Z56:AA56 X21:X37 X39:X56 X58:X78 X81:X102 X104:X122 X124:X150 AC17:AC18 Z21:AA37 AC21:AC37 AA42:AA55 AA40 Z40:Z55 Z58:AA78 Z81:AA102 Z105:AA121">
    <cfRule type="cellIs" dxfId="12" priority="91" stopIfTrue="1" operator="lessThan">
      <formula>0</formula>
    </cfRule>
  </conditionalFormatting>
  <conditionalFormatting sqref="AC14:AC15 AC9:AC11 AC152 AC58:AC78 AC81:AC102 AC39:AC56 AC104:AC122 AC124:AC150 AC17:AC18 AC21:AC37">
    <cfRule type="cellIs" dxfId="11" priority="62" stopIfTrue="1" operator="lessThan">
      <formula>0</formula>
    </cfRule>
  </conditionalFormatting>
  <conditionalFormatting sqref="Y152 Z10:AC10 Z12:AC13 Z16:AC16 Z19:AC20 Y58:Y78 Y104:Y122 Y124:Y150 Y81:Y102 Y9:Y37 Z17:AA17 Y39:Y56">
    <cfRule type="cellIs" dxfId="10" priority="40" operator="lessThan">
      <formula>0</formula>
    </cfRule>
  </conditionalFormatting>
  <conditionalFormatting sqref="AB161:AC161 X152 X14:X15 X18 X9 X11 X21:X37 X39:X56 X58:X78 X81:X102 X104:X122 X124:X150">
    <cfRule type="cellIs" dxfId="9" priority="37" operator="lessThan">
      <formula>0</formula>
    </cfRule>
  </conditionalFormatting>
  <conditionalFormatting sqref="AB165:AB170">
    <cfRule type="cellIs" dxfId="8" priority="12" operator="lessThan">
      <formula>0</formula>
    </cfRule>
  </conditionalFormatting>
  <conditionalFormatting sqref="AB166:AB170">
    <cfRule type="cellIs" dxfId="7" priority="11" operator="lessThan">
      <formula>0</formula>
    </cfRule>
  </conditionalFormatting>
  <conditionalFormatting sqref="X17">
    <cfRule type="cellIs" dxfId="6" priority="7" stopIfTrue="1" operator="lessThan">
      <formula>0</formula>
    </cfRule>
  </conditionalFormatting>
  <conditionalFormatting sqref="X17">
    <cfRule type="cellIs" dxfId="5" priority="6" operator="lessThan">
      <formula>0</formula>
    </cfRule>
  </conditionalFormatting>
  <conditionalFormatting sqref="X155:X157">
    <cfRule type="cellIs" dxfId="4" priority="5" stopIfTrue="1" operator="lessThan">
      <formula>0</formula>
    </cfRule>
  </conditionalFormatting>
  <conditionalFormatting sqref="X155:X157">
    <cfRule type="cellIs" dxfId="3" priority="4" operator="lessThan">
      <formula>0</formula>
    </cfRule>
  </conditionalFormatting>
  <conditionalFormatting sqref="Y154:Y157">
    <cfRule type="cellIs" dxfId="2" priority="3" operator="lessThan">
      <formula>0</formula>
    </cfRule>
  </conditionalFormatting>
  <conditionalFormatting sqref="AC154:AC157">
    <cfRule type="cellIs" dxfId="1" priority="2" stopIfTrue="1" operator="lessThan">
      <formula>0</formula>
    </cfRule>
  </conditionalFormatting>
  <conditionalFormatting sqref="AC154:AC157">
    <cfRule type="cellIs" dxfId="0" priority="1" stopIfTrue="1" operator="lessThan">
      <formula>0</formula>
    </cfRule>
  </conditionalFormatting>
  <printOptions horizontalCentered="1"/>
  <pageMargins left="0.31496062992125984" right="0.31496062992125984" top="0.35433070866141736" bottom="0.35433070866141736" header="0.31496062992125984" footer="0.31496062992125984"/>
  <pageSetup scale="39" fitToHeight="2" orientation="portrait" r:id="rId1"/>
  <rowBreaks count="1" manualBreakCount="1">
    <brk id="80" min="2"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Septiembre</vt:lpstr>
      <vt:lpstr>Analítico Septiembre</vt:lpstr>
      <vt:lpstr>'Analítico Septiembre'!Área_de_impresión</vt:lpstr>
      <vt:lpstr>Septiembre!Área_de_impresión</vt:lpstr>
      <vt:lpstr>'Analítico Septiembre'!Títulos_a_imprimir</vt:lpstr>
      <vt:lpstr>Septiembre!Títulos_a_imprimir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Miguel Castro Gutierrez</dc:creator>
  <cp:lastModifiedBy>Cecilia Mendoza Frias</cp:lastModifiedBy>
  <cp:lastPrinted>2017-10-09T19:56:15Z</cp:lastPrinted>
  <dcterms:created xsi:type="dcterms:W3CDTF">2007-08-09T23:34:42Z</dcterms:created>
  <dcterms:modified xsi:type="dcterms:W3CDTF">2017-10-23T19:48:55Z</dcterms:modified>
</cp:coreProperties>
</file>